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095" activeTab="0"/>
  </bookViews>
  <sheets>
    <sheet name="FY 24-25" sheetId="1" r:id="rId1"/>
    <sheet name="FY 23-24" sheetId="2" r:id="rId2"/>
    <sheet name="FY 22-23" sheetId="3" r:id="rId3"/>
    <sheet name="FY 21-22" sheetId="4" r:id="rId4"/>
    <sheet name="FY 20-21" sheetId="5" r:id="rId5"/>
    <sheet name="FY 19-20" sheetId="6" r:id="rId6"/>
    <sheet name="FY 18-19" sheetId="7" r:id="rId7"/>
    <sheet name="FY 17-18" sheetId="8" r:id="rId8"/>
    <sheet name="FY 16-17" sheetId="9" r:id="rId9"/>
    <sheet name="FY 15-16" sheetId="10" r:id="rId10"/>
    <sheet name="FY 14-15" sheetId="11" r:id="rId11"/>
    <sheet name="FY 13-14" sheetId="12" r:id="rId12"/>
    <sheet name="FY 12-13" sheetId="13" r:id="rId13"/>
    <sheet name="FY 11-12" sheetId="14" r:id="rId14"/>
    <sheet name="FY 10-11" sheetId="15" r:id="rId15"/>
    <sheet name="FY 09-10" sheetId="16" r:id="rId16"/>
    <sheet name="FY 08-09" sheetId="17" r:id="rId17"/>
    <sheet name="FY 07-08" sheetId="18" r:id="rId18"/>
    <sheet name="FY 06-07" sheetId="19" r:id="rId19"/>
  </sheets>
  <definedNames>
    <definedName name="_xlfn.IFERROR" hidden="1">#NAME?</definedName>
    <definedName name="_xlnm.Print_Area" localSheetId="18">'FY 06-07'!$A$1:$F$66</definedName>
    <definedName name="_xlnm.Print_Area" localSheetId="17">'FY 07-08'!$A$1:$F$66</definedName>
    <definedName name="_xlnm.Print_Area" localSheetId="16">'FY 08-09'!$A$1:$F$66</definedName>
    <definedName name="_xlnm.Print_Area" localSheetId="15">'FY 09-10'!$A$1:$F$66</definedName>
    <definedName name="_xlnm.Print_Area" localSheetId="14">'FY 10-11'!$A$1:$F$66</definedName>
    <definedName name="_xlnm.Print_Area" localSheetId="13">'FY 11-12'!$A$1:$G$66</definedName>
    <definedName name="_xlnm.Print_Area" localSheetId="12">'FY 12-13'!$A$1:$G$66</definedName>
    <definedName name="_xlnm.Print_Area" localSheetId="11">'FY 13-14'!$A$1:$G$66</definedName>
    <definedName name="_xlnm.Print_Area" localSheetId="10">'FY 14-15'!$A$1:$G$66</definedName>
    <definedName name="_xlnm.Print_Area" localSheetId="9">'FY 15-16'!$A$1:$G$67</definedName>
    <definedName name="_xlnm.Print_Area" localSheetId="8">'FY 16-17'!$A$1:$G$67</definedName>
    <definedName name="_xlnm.Print_Area" localSheetId="7">'FY 17-18'!$A$1:$G$66</definedName>
    <definedName name="_xlnm.Print_Area" localSheetId="6">'FY 18-19'!$A$1:$G$65</definedName>
    <definedName name="_xlnm.Print_Area" localSheetId="5">'FY 19-20'!$A$1:$G$65</definedName>
    <definedName name="_xlnm.Print_Area" localSheetId="4">'FY 20-21'!$A$1:$G$66</definedName>
    <definedName name="_xlnm.Print_Area" localSheetId="3">'FY 21-22'!$A$1:$G$65</definedName>
    <definedName name="_xlnm.Print_Area" localSheetId="2">'FY 22-23'!$A$1:$G$65</definedName>
    <definedName name="_xlnm.Print_Area" localSheetId="1">'FY 23-24'!$A$1:$G$66</definedName>
    <definedName name="_xlnm.Print_Area" localSheetId="0">'FY 24-25'!$A$1:$G$66</definedName>
  </definedNames>
  <calcPr fullCalcOnLoad="1"/>
</workbook>
</file>

<file path=xl/sharedStrings.xml><?xml version="1.0" encoding="utf-8"?>
<sst xmlns="http://schemas.openxmlformats.org/spreadsheetml/2006/main" count="351" uniqueCount="37">
  <si>
    <t>Credits</t>
  </si>
  <si>
    <t>Avg Daily</t>
  </si>
  <si>
    <t>Win/VGM</t>
  </si>
  <si>
    <t>Played</t>
  </si>
  <si>
    <t>Won</t>
  </si>
  <si>
    <t>Net Win</t>
  </si>
  <si>
    <t>VGM's</t>
  </si>
  <si>
    <t>per Day</t>
  </si>
  <si>
    <t>Total</t>
  </si>
  <si>
    <t>Fiscal Year 2008/2009</t>
  </si>
  <si>
    <t>Fiscal Year 2009/2010</t>
  </si>
  <si>
    <t>Week-Ending</t>
  </si>
  <si>
    <t>Totals</t>
  </si>
  <si>
    <t>Fiscal Year 2006/2007</t>
  </si>
  <si>
    <t>Fiscal Year 2007/2008</t>
  </si>
  <si>
    <t>4229 Stuhlman Rd</t>
  </si>
  <si>
    <t>Vernon, NY 13476</t>
  </si>
  <si>
    <t>www.vernondowns.com</t>
  </si>
  <si>
    <t>(877) 888-9766</t>
  </si>
  <si>
    <t>Vernon Downs Casino</t>
  </si>
  <si>
    <t>Fiscal Year 2010/2011</t>
  </si>
  <si>
    <t>Fiscal Year 2011/2012</t>
  </si>
  <si>
    <t>Free Play</t>
  </si>
  <si>
    <t>Fiscal Year 2012/2013</t>
  </si>
  <si>
    <t>Allowance</t>
  </si>
  <si>
    <t>Fiscal Year 2013/2014</t>
  </si>
  <si>
    <t>Fiscal Year 2014/2015</t>
  </si>
  <si>
    <t>Fiscal Year 2015/2016</t>
  </si>
  <si>
    <t>Fiscal Year 2016/2017</t>
  </si>
  <si>
    <t>Fiscal Year 2017/2018</t>
  </si>
  <si>
    <t>Fiscal Year 2018/2019</t>
  </si>
  <si>
    <t>Fiscal Year 2019/2020</t>
  </si>
  <si>
    <t>Fiscal Year 2020/2021</t>
  </si>
  <si>
    <t>Fiscal Year 2021/2022</t>
  </si>
  <si>
    <t>Fiscal Year 2022/2023</t>
  </si>
  <si>
    <t>Fiscal Year 2023/2024</t>
  </si>
  <si>
    <t>Fiscal Year 2024/2025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</si>
</sst>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%_);[Red]\(0.00%\)"/>
    <numFmt numFmtId="166" formatCode="mm/d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.0_);\(&quot;$&quot;#,##0.0\)"/>
    <numFmt numFmtId="172" formatCode="m/d/yy;@"/>
    <numFmt numFmtId="173" formatCode="0_);[Red]\(0\)"/>
    <numFmt numFmtId="174" formatCode="_(* #,##0_);_(* \(#,##0\);_(* &quot;-&quot;??_);_(@_)"/>
    <numFmt numFmtId="175" formatCode="&quot;$&quot;#,##0.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11"/>
      <color indexed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 vertical="top"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6" fontId="8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6" fontId="0" fillId="0" borderId="0" xfId="0" applyNumberFormat="1" applyAlignment="1">
      <alignment horizontal="left"/>
    </xf>
    <xf numFmtId="6" fontId="0" fillId="0" borderId="0" xfId="0" applyNumberFormat="1" applyAlignment="1">
      <alignment horizontal="center"/>
    </xf>
    <xf numFmtId="38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6" fontId="10" fillId="0" borderId="10" xfId="0" applyNumberFormat="1" applyFont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6" fontId="10" fillId="0" borderId="0" xfId="0" applyNumberFormat="1" applyFont="1" applyAlignment="1">
      <alignment horizontal="center"/>
    </xf>
    <xf numFmtId="38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38" fontId="10" fillId="0" borderId="10" xfId="0" applyNumberFormat="1" applyFont="1" applyBorder="1" applyAlignment="1">
      <alignment horizontal="center"/>
    </xf>
    <xf numFmtId="6" fontId="0" fillId="0" borderId="0" xfId="0" applyNumberFormat="1" applyAlignment="1">
      <alignment/>
    </xf>
    <xf numFmtId="38" fontId="0" fillId="0" borderId="0" xfId="0" applyNumberFormat="1" applyAlignment="1">
      <alignment/>
    </xf>
    <xf numFmtId="6" fontId="0" fillId="0" borderId="11" xfId="0" applyNumberFormat="1" applyBorder="1" applyAlignment="1">
      <alignment/>
    </xf>
    <xf numFmtId="6" fontId="0" fillId="0" borderId="0" xfId="0" applyNumberFormat="1" applyBorder="1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38" fontId="0" fillId="0" borderId="11" xfId="0" applyNumberFormat="1" applyBorder="1" applyAlignment="1">
      <alignment/>
    </xf>
    <xf numFmtId="166" fontId="0" fillId="0" borderId="0" xfId="0" applyNumberFormat="1" applyBorder="1" applyAlignment="1">
      <alignment horizontal="center"/>
    </xf>
    <xf numFmtId="6" fontId="5" fillId="0" borderId="0" xfId="0" applyNumberFormat="1" applyFont="1" applyAlignment="1">
      <alignment/>
    </xf>
    <xf numFmtId="6" fontId="6" fillId="0" borderId="0" xfId="0" applyNumberFormat="1" applyFont="1" applyAlignment="1">
      <alignment/>
    </xf>
    <xf numFmtId="6" fontId="7" fillId="0" borderId="0" xfId="60" applyNumberFormat="1" applyFont="1" applyAlignment="1" applyProtection="1">
      <alignment/>
      <protection/>
    </xf>
    <xf numFmtId="6" fontId="8" fillId="0" borderId="0" xfId="0" applyNumberFormat="1" applyFont="1" applyAlignment="1">
      <alignment/>
    </xf>
    <xf numFmtId="166" fontId="8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166" fontId="10" fillId="0" borderId="10" xfId="0" applyNumberFormat="1" applyFont="1" applyBorder="1" applyAlignment="1">
      <alignment horizontal="center"/>
    </xf>
    <xf numFmtId="166" fontId="2" fillId="0" borderId="0" xfId="68" applyNumberFormat="1" applyBorder="1" applyAlignment="1">
      <alignment horizontal="center" vertical="center" wrapText="1"/>
      <protection/>
    </xf>
    <xf numFmtId="0" fontId="0" fillId="0" borderId="0" xfId="64" applyAlignment="1">
      <alignment/>
      <protection/>
    </xf>
    <xf numFmtId="6" fontId="0" fillId="0" borderId="0" xfId="64" applyNumberFormat="1" applyAlignment="1">
      <alignment/>
      <protection/>
    </xf>
    <xf numFmtId="38" fontId="0" fillId="0" borderId="0" xfId="64" applyNumberFormat="1" applyAlignment="1">
      <alignment/>
      <protection/>
    </xf>
    <xf numFmtId="164" fontId="0" fillId="0" borderId="0" xfId="64" applyNumberFormat="1" applyAlignment="1">
      <alignment horizontal="center"/>
      <protection/>
    </xf>
    <xf numFmtId="165" fontId="0" fillId="0" borderId="0" xfId="64" applyNumberFormat="1" applyAlignment="1">
      <alignment/>
      <protection/>
    </xf>
    <xf numFmtId="165" fontId="0" fillId="0" borderId="0" xfId="64" applyNumberFormat="1" applyBorder="1" applyAlignment="1">
      <alignment/>
      <protection/>
    </xf>
    <xf numFmtId="165" fontId="0" fillId="0" borderId="0" xfId="64" applyNumberFormat="1" applyAlignment="1">
      <alignment horizontal="center"/>
      <protection/>
    </xf>
    <xf numFmtId="6" fontId="0" fillId="0" borderId="11" xfId="64" applyNumberFormat="1" applyBorder="1" applyAlignment="1">
      <alignment/>
      <protection/>
    </xf>
    <xf numFmtId="38" fontId="0" fillId="0" borderId="11" xfId="64" applyNumberFormat="1" applyBorder="1" applyAlignment="1">
      <alignment/>
      <protection/>
    </xf>
    <xf numFmtId="166" fontId="0" fillId="0" borderId="0" xfId="64" applyNumberFormat="1" applyAlignment="1">
      <alignment horizontal="center"/>
      <protection/>
    </xf>
    <xf numFmtId="0" fontId="10" fillId="0" borderId="0" xfId="64" applyFont="1" applyAlignment="1">
      <alignment horizontal="center"/>
      <protection/>
    </xf>
    <xf numFmtId="6" fontId="10" fillId="0" borderId="10" xfId="64" applyNumberFormat="1" applyFont="1" applyBorder="1" applyAlignment="1">
      <alignment horizontal="center"/>
      <protection/>
    </xf>
    <xf numFmtId="38" fontId="10" fillId="0" borderId="10" xfId="64" applyNumberFormat="1" applyFont="1" applyBorder="1" applyAlignment="1">
      <alignment horizontal="center"/>
      <protection/>
    </xf>
    <xf numFmtId="164" fontId="10" fillId="0" borderId="10" xfId="64" applyNumberFormat="1" applyFont="1" applyBorder="1" applyAlignment="1">
      <alignment horizontal="center"/>
      <protection/>
    </xf>
    <xf numFmtId="6" fontId="10" fillId="0" borderId="0" xfId="64" applyNumberFormat="1" applyFont="1" applyAlignment="1">
      <alignment horizontal="center"/>
      <protection/>
    </xf>
    <xf numFmtId="38" fontId="10" fillId="0" borderId="0" xfId="64" applyNumberFormat="1" applyFont="1" applyAlignment="1">
      <alignment horizontal="center"/>
      <protection/>
    </xf>
    <xf numFmtId="164" fontId="10" fillId="0" borderId="0" xfId="64" applyNumberFormat="1" applyFont="1" applyAlignment="1">
      <alignment horizontal="center"/>
      <protection/>
    </xf>
    <xf numFmtId="0" fontId="0" fillId="0" borderId="0" xfId="64" applyAlignment="1">
      <alignment horizontal="center"/>
      <protection/>
    </xf>
    <xf numFmtId="6" fontId="0" fillId="0" borderId="0" xfId="64" applyNumberFormat="1" applyAlignment="1">
      <alignment horizontal="center"/>
      <protection/>
    </xf>
    <xf numFmtId="38" fontId="0" fillId="0" borderId="0" xfId="64" applyNumberFormat="1" applyAlignment="1">
      <alignment horizontal="center"/>
      <protection/>
    </xf>
    <xf numFmtId="6" fontId="0" fillId="0" borderId="0" xfId="64" applyNumberFormat="1" applyAlignment="1">
      <alignment horizontal="left"/>
      <protection/>
    </xf>
    <xf numFmtId="0" fontId="0" fillId="0" borderId="0" xfId="64" applyFont="1" applyAlignment="1">
      <alignment horizontal="center"/>
      <protection/>
    </xf>
    <xf numFmtId="6" fontId="8" fillId="0" borderId="0" xfId="64" applyNumberFormat="1" applyFont="1" applyAlignment="1">
      <alignment horizontal="center"/>
      <protection/>
    </xf>
    <xf numFmtId="6" fontId="8" fillId="0" borderId="0" xfId="64" applyNumberFormat="1" applyFont="1" applyAlignment="1">
      <alignment/>
      <protection/>
    </xf>
    <xf numFmtId="6" fontId="6" fillId="0" borderId="0" xfId="64" applyNumberFormat="1" applyFont="1" applyAlignment="1">
      <alignment/>
      <protection/>
    </xf>
    <xf numFmtId="6" fontId="5" fillId="0" borderId="0" xfId="64" applyNumberFormat="1" applyFont="1" applyAlignment="1">
      <alignment/>
      <protection/>
    </xf>
    <xf numFmtId="5" fontId="0" fillId="0" borderId="0" xfId="64" applyNumberFormat="1" applyAlignment="1">
      <alignment/>
      <protection/>
    </xf>
    <xf numFmtId="5" fontId="0" fillId="0" borderId="0" xfId="0" applyNumberFormat="1" applyFill="1" applyAlignment="1">
      <alignment/>
    </xf>
    <xf numFmtId="6" fontId="5" fillId="0" borderId="0" xfId="64" applyNumberFormat="1" applyFont="1" applyAlignment="1">
      <alignment horizontal="center"/>
      <protection/>
    </xf>
    <xf numFmtId="6" fontId="6" fillId="0" borderId="0" xfId="64" applyNumberFormat="1" applyFont="1" applyAlignment="1">
      <alignment horizontal="center"/>
      <protection/>
    </xf>
    <xf numFmtId="6" fontId="7" fillId="0" borderId="0" xfId="60" applyNumberFormat="1" applyFont="1" applyAlignment="1" applyProtection="1">
      <alignment horizontal="center"/>
      <protection/>
    </xf>
    <xf numFmtId="6" fontId="8" fillId="0" borderId="0" xfId="64" applyNumberFormat="1" applyFont="1" applyAlignment="1">
      <alignment horizontal="center"/>
      <protection/>
    </xf>
    <xf numFmtId="164" fontId="9" fillId="33" borderId="12" xfId="64" applyNumberFormat="1" applyFont="1" applyFill="1" applyBorder="1" applyAlignment="1">
      <alignment horizontal="center"/>
      <protection/>
    </xf>
    <xf numFmtId="164" fontId="9" fillId="33" borderId="13" xfId="64" applyNumberFormat="1" applyFont="1" applyFill="1" applyBorder="1" applyAlignment="1">
      <alignment horizontal="center"/>
      <protection/>
    </xf>
    <xf numFmtId="164" fontId="9" fillId="33" borderId="14" xfId="64" applyNumberFormat="1" applyFont="1" applyFill="1" applyBorder="1" applyAlignment="1">
      <alignment horizontal="center"/>
      <protection/>
    </xf>
    <xf numFmtId="164" fontId="9" fillId="33" borderId="12" xfId="0" applyNumberFormat="1" applyFont="1" applyFill="1" applyBorder="1" applyAlignment="1">
      <alignment horizontal="center"/>
    </xf>
    <xf numFmtId="164" fontId="9" fillId="33" borderId="13" xfId="0" applyNumberFormat="1" applyFont="1" applyFill="1" applyBorder="1" applyAlignment="1">
      <alignment horizontal="center"/>
    </xf>
    <xf numFmtId="164" fontId="9" fillId="33" borderId="14" xfId="0" applyNumberFormat="1" applyFont="1" applyFill="1" applyBorder="1" applyAlignment="1">
      <alignment horizontal="center"/>
    </xf>
    <xf numFmtId="6" fontId="5" fillId="0" borderId="0" xfId="0" applyNumberFormat="1" applyFont="1" applyAlignment="1">
      <alignment horizontal="center"/>
    </xf>
    <xf numFmtId="6" fontId="6" fillId="0" borderId="0" xfId="0" applyNumberFormat="1" applyFont="1" applyAlignment="1">
      <alignment horizontal="center"/>
    </xf>
    <xf numFmtId="6" fontId="8" fillId="0" borderId="0" xfId="0" applyNumberFormat="1" applyFont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omma 6" xfId="49"/>
    <cellStyle name="Comma 7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2" xfId="64"/>
    <cellStyle name="Note" xfId="65"/>
    <cellStyle name="Output" xfId="66"/>
    <cellStyle name="Percent" xfId="67"/>
    <cellStyle name="Style 1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76200</xdr:rowOff>
    </xdr:from>
    <xdr:to>
      <xdr:col>1</xdr:col>
      <xdr:colOff>628650</xdr:colOff>
      <xdr:row>5</xdr:row>
      <xdr:rowOff>171450</xdr:rowOff>
    </xdr:to>
    <xdr:pic>
      <xdr:nvPicPr>
        <xdr:cNvPr id="1" name="Picture 1" descr="VernonDown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15049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114300</xdr:rowOff>
    </xdr:from>
    <xdr:to>
      <xdr:col>1</xdr:col>
      <xdr:colOff>590550</xdr:colOff>
      <xdr:row>6</xdr:row>
      <xdr:rowOff>47625</xdr:rowOff>
    </xdr:to>
    <xdr:pic>
      <xdr:nvPicPr>
        <xdr:cNvPr id="1" name="Picture 1" descr="VernonDown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300"/>
          <a:ext cx="14859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114300</xdr:rowOff>
    </xdr:from>
    <xdr:to>
      <xdr:col>1</xdr:col>
      <xdr:colOff>590550</xdr:colOff>
      <xdr:row>6</xdr:row>
      <xdr:rowOff>47625</xdr:rowOff>
    </xdr:to>
    <xdr:pic>
      <xdr:nvPicPr>
        <xdr:cNvPr id="1" name="Picture 1" descr="VernonDown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300"/>
          <a:ext cx="14859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114300</xdr:rowOff>
    </xdr:from>
    <xdr:to>
      <xdr:col>1</xdr:col>
      <xdr:colOff>590550</xdr:colOff>
      <xdr:row>6</xdr:row>
      <xdr:rowOff>47625</xdr:rowOff>
    </xdr:to>
    <xdr:pic>
      <xdr:nvPicPr>
        <xdr:cNvPr id="1" name="Picture 1" descr="VernonDown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300"/>
          <a:ext cx="14859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114300</xdr:rowOff>
    </xdr:from>
    <xdr:to>
      <xdr:col>1</xdr:col>
      <xdr:colOff>590550</xdr:colOff>
      <xdr:row>6</xdr:row>
      <xdr:rowOff>47625</xdr:rowOff>
    </xdr:to>
    <xdr:pic>
      <xdr:nvPicPr>
        <xdr:cNvPr id="1" name="Picture 1" descr="VernonDown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300"/>
          <a:ext cx="14859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114300</xdr:rowOff>
    </xdr:from>
    <xdr:to>
      <xdr:col>1</xdr:col>
      <xdr:colOff>590550</xdr:colOff>
      <xdr:row>6</xdr:row>
      <xdr:rowOff>47625</xdr:rowOff>
    </xdr:to>
    <xdr:pic>
      <xdr:nvPicPr>
        <xdr:cNvPr id="1" name="Picture 1" descr="VernonDown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300"/>
          <a:ext cx="14859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114300</xdr:rowOff>
    </xdr:from>
    <xdr:to>
      <xdr:col>1</xdr:col>
      <xdr:colOff>247650</xdr:colOff>
      <xdr:row>5</xdr:row>
      <xdr:rowOff>47625</xdr:rowOff>
    </xdr:to>
    <xdr:pic>
      <xdr:nvPicPr>
        <xdr:cNvPr id="1" name="Picture 1" descr="VernonDown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300"/>
          <a:ext cx="11430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114300</xdr:rowOff>
    </xdr:from>
    <xdr:to>
      <xdr:col>1</xdr:col>
      <xdr:colOff>247650</xdr:colOff>
      <xdr:row>5</xdr:row>
      <xdr:rowOff>47625</xdr:rowOff>
    </xdr:to>
    <xdr:pic>
      <xdr:nvPicPr>
        <xdr:cNvPr id="1" name="Picture 3" descr="VernonDown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300"/>
          <a:ext cx="11430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114300</xdr:rowOff>
    </xdr:from>
    <xdr:to>
      <xdr:col>1</xdr:col>
      <xdr:colOff>247650</xdr:colOff>
      <xdr:row>5</xdr:row>
      <xdr:rowOff>47625</xdr:rowOff>
    </xdr:to>
    <xdr:pic>
      <xdr:nvPicPr>
        <xdr:cNvPr id="1" name="Picture 3" descr="VernonDown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300"/>
          <a:ext cx="11430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114300</xdr:rowOff>
    </xdr:from>
    <xdr:to>
      <xdr:col>1</xdr:col>
      <xdr:colOff>247650</xdr:colOff>
      <xdr:row>5</xdr:row>
      <xdr:rowOff>47625</xdr:rowOff>
    </xdr:to>
    <xdr:pic>
      <xdr:nvPicPr>
        <xdr:cNvPr id="1" name="Picture 3" descr="VernonDown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300"/>
          <a:ext cx="11430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114300</xdr:rowOff>
    </xdr:from>
    <xdr:to>
      <xdr:col>1</xdr:col>
      <xdr:colOff>247650</xdr:colOff>
      <xdr:row>5</xdr:row>
      <xdr:rowOff>47625</xdr:rowOff>
    </xdr:to>
    <xdr:pic>
      <xdr:nvPicPr>
        <xdr:cNvPr id="1" name="Picture 3" descr="VernonDown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300"/>
          <a:ext cx="11430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76200</xdr:rowOff>
    </xdr:from>
    <xdr:to>
      <xdr:col>1</xdr:col>
      <xdr:colOff>628650</xdr:colOff>
      <xdr:row>5</xdr:row>
      <xdr:rowOff>171450</xdr:rowOff>
    </xdr:to>
    <xdr:pic>
      <xdr:nvPicPr>
        <xdr:cNvPr id="1" name="Picture 1" descr="VernonDown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15049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76200</xdr:rowOff>
    </xdr:from>
    <xdr:to>
      <xdr:col>1</xdr:col>
      <xdr:colOff>628650</xdr:colOff>
      <xdr:row>5</xdr:row>
      <xdr:rowOff>171450</xdr:rowOff>
    </xdr:to>
    <xdr:pic>
      <xdr:nvPicPr>
        <xdr:cNvPr id="1" name="Picture 1" descr="VernonDown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15049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76200</xdr:rowOff>
    </xdr:from>
    <xdr:to>
      <xdr:col>1</xdr:col>
      <xdr:colOff>628650</xdr:colOff>
      <xdr:row>5</xdr:row>
      <xdr:rowOff>171450</xdr:rowOff>
    </xdr:to>
    <xdr:pic>
      <xdr:nvPicPr>
        <xdr:cNvPr id="1" name="Picture 1" descr="VernonDown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15049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76200</xdr:rowOff>
    </xdr:from>
    <xdr:to>
      <xdr:col>1</xdr:col>
      <xdr:colOff>628650</xdr:colOff>
      <xdr:row>5</xdr:row>
      <xdr:rowOff>171450</xdr:rowOff>
    </xdr:to>
    <xdr:pic>
      <xdr:nvPicPr>
        <xdr:cNvPr id="1" name="Picture 1" descr="VernonDown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15049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76200</xdr:rowOff>
    </xdr:from>
    <xdr:to>
      <xdr:col>1</xdr:col>
      <xdr:colOff>628650</xdr:colOff>
      <xdr:row>5</xdr:row>
      <xdr:rowOff>171450</xdr:rowOff>
    </xdr:to>
    <xdr:pic>
      <xdr:nvPicPr>
        <xdr:cNvPr id="1" name="Picture 1" descr="VernonDown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15049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114300</xdr:rowOff>
    </xdr:from>
    <xdr:to>
      <xdr:col>1</xdr:col>
      <xdr:colOff>590550</xdr:colOff>
      <xdr:row>6</xdr:row>
      <xdr:rowOff>0</xdr:rowOff>
    </xdr:to>
    <xdr:pic>
      <xdr:nvPicPr>
        <xdr:cNvPr id="1" name="Picture 1" descr="VernonDown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300"/>
          <a:ext cx="1485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114300</xdr:rowOff>
    </xdr:from>
    <xdr:to>
      <xdr:col>1</xdr:col>
      <xdr:colOff>590550</xdr:colOff>
      <xdr:row>6</xdr:row>
      <xdr:rowOff>47625</xdr:rowOff>
    </xdr:to>
    <xdr:pic>
      <xdr:nvPicPr>
        <xdr:cNvPr id="1" name="Picture 1" descr="VernonDown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300"/>
          <a:ext cx="14859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114300</xdr:rowOff>
    </xdr:from>
    <xdr:to>
      <xdr:col>1</xdr:col>
      <xdr:colOff>590550</xdr:colOff>
      <xdr:row>6</xdr:row>
      <xdr:rowOff>47625</xdr:rowOff>
    </xdr:to>
    <xdr:pic>
      <xdr:nvPicPr>
        <xdr:cNvPr id="1" name="Picture 1" descr="VernonDown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300"/>
          <a:ext cx="14859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nondown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nondowns.com/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nondowns.com/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nondowns.com/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nondowns.com/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nondowns.com/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nondowns.com/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nondowns.com/" TargetMode="Externa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nondowns.com/" TargetMode="Externa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nondowns.com/" TargetMode="Externa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nondowns.com/" TargetMode="External" /><Relationship Id="rId2" Type="http://schemas.openxmlformats.org/officeDocument/2006/relationships/drawing" Target="../drawings/drawing19.x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nondown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nondown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nondown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nondown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nondown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nondowns.com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nondowns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nondowns.com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F17" sqref="F17"/>
    </sheetView>
  </sheetViews>
  <sheetFormatPr defaultColWidth="9.140625" defaultRowHeight="12.75"/>
  <cols>
    <col min="1" max="1" width="15.7109375" style="36" customWidth="1"/>
    <col min="2" max="5" width="15.7109375" style="34" customWidth="1"/>
    <col min="6" max="6" width="15.7109375" style="35" customWidth="1"/>
    <col min="7" max="7" width="15.7109375" style="34" customWidth="1"/>
    <col min="8" max="16384" width="9.140625" style="33" customWidth="1"/>
  </cols>
  <sheetData>
    <row r="1" spans="1:11" ht="18">
      <c r="A1" s="61" t="s">
        <v>19</v>
      </c>
      <c r="B1" s="61"/>
      <c r="C1" s="61"/>
      <c r="D1" s="61"/>
      <c r="E1" s="61"/>
      <c r="F1" s="61"/>
      <c r="G1" s="61"/>
      <c r="H1" s="58"/>
      <c r="I1" s="58"/>
      <c r="J1" s="58"/>
      <c r="K1" s="58"/>
    </row>
    <row r="2" spans="1:11" ht="15">
      <c r="A2" s="62" t="s">
        <v>15</v>
      </c>
      <c r="B2" s="62"/>
      <c r="C2" s="62"/>
      <c r="D2" s="62"/>
      <c r="E2" s="62"/>
      <c r="F2" s="62"/>
      <c r="G2" s="62"/>
      <c r="H2" s="57"/>
      <c r="I2" s="57"/>
      <c r="J2" s="57"/>
      <c r="K2" s="57"/>
    </row>
    <row r="3" spans="1:11" s="50" customFormat="1" ht="15">
      <c r="A3" s="62" t="s">
        <v>16</v>
      </c>
      <c r="B3" s="62"/>
      <c r="C3" s="62"/>
      <c r="D3" s="62"/>
      <c r="E3" s="62"/>
      <c r="F3" s="62"/>
      <c r="G3" s="62"/>
      <c r="H3" s="57"/>
      <c r="I3" s="57"/>
      <c r="J3" s="57"/>
      <c r="K3" s="57"/>
    </row>
    <row r="4" spans="1:11" s="50" customFormat="1" ht="14.25" customHeight="1">
      <c r="A4" s="63" t="s">
        <v>17</v>
      </c>
      <c r="B4" s="63"/>
      <c r="C4" s="63"/>
      <c r="D4" s="63"/>
      <c r="E4" s="63"/>
      <c r="F4" s="63"/>
      <c r="G4" s="63"/>
      <c r="H4" s="27"/>
      <c r="I4" s="27"/>
      <c r="J4" s="27"/>
      <c r="K4" s="27"/>
    </row>
    <row r="5" spans="1:11" s="50" customFormat="1" ht="14.25">
      <c r="A5" s="64" t="s">
        <v>18</v>
      </c>
      <c r="B5" s="64"/>
      <c r="C5" s="64"/>
      <c r="D5" s="64"/>
      <c r="E5" s="64"/>
      <c r="F5" s="64"/>
      <c r="G5" s="64"/>
      <c r="H5" s="56"/>
      <c r="I5" s="56"/>
      <c r="J5" s="56"/>
      <c r="K5" s="56"/>
    </row>
    <row r="6" spans="1:11" s="50" customFormat="1" ht="21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7" s="54" customFormat="1" ht="14.25" customHeight="1">
      <c r="A7" s="65" t="s">
        <v>36</v>
      </c>
      <c r="B7" s="66"/>
      <c r="C7" s="66"/>
      <c r="D7" s="66"/>
      <c r="E7" s="66"/>
      <c r="F7" s="66"/>
      <c r="G7" s="67"/>
    </row>
    <row r="8" spans="1:7" s="50" customFormat="1" ht="9" customHeight="1">
      <c r="A8" s="36"/>
      <c r="B8" s="53"/>
      <c r="C8" s="53"/>
      <c r="D8" s="53"/>
      <c r="E8" s="51"/>
      <c r="F8" s="52"/>
      <c r="G8" s="51"/>
    </row>
    <row r="9" spans="1:7" s="43" customFormat="1" ht="12">
      <c r="A9" s="49"/>
      <c r="B9" s="47" t="s">
        <v>0</v>
      </c>
      <c r="C9" s="47" t="s">
        <v>22</v>
      </c>
      <c r="D9" s="47" t="s">
        <v>0</v>
      </c>
      <c r="E9" s="47"/>
      <c r="F9" s="48" t="s">
        <v>1</v>
      </c>
      <c r="G9" s="47" t="s">
        <v>2</v>
      </c>
    </row>
    <row r="10" spans="1:7" s="43" customFormat="1" ht="12">
      <c r="A10" s="46" t="s">
        <v>11</v>
      </c>
      <c r="B10" s="44" t="s">
        <v>3</v>
      </c>
      <c r="C10" s="44" t="s">
        <v>24</v>
      </c>
      <c r="D10" s="44" t="s">
        <v>4</v>
      </c>
      <c r="E10" s="44" t="s">
        <v>5</v>
      </c>
      <c r="F10" s="45" t="s">
        <v>6</v>
      </c>
      <c r="G10" s="44" t="s">
        <v>7</v>
      </c>
    </row>
    <row r="12" spans="1:7" ht="12.75">
      <c r="A12" s="22">
        <v>45381</v>
      </c>
      <c r="B12" s="34">
        <v>10055250.79</v>
      </c>
      <c r="C12" s="34">
        <v>104927.56</v>
      </c>
      <c r="D12" s="34">
        <f aca="true" t="shared" si="0" ref="D12:D64">IF(ISBLANK(B12),"",B12-C12-E12)</f>
        <v>9207767.28</v>
      </c>
      <c r="E12" s="34">
        <v>742555.9499999998</v>
      </c>
      <c r="F12" s="35">
        <v>512</v>
      </c>
      <c r="G12" s="34">
        <f aca="true" t="shared" si="1" ref="G12:G35">IF(ISBLANK(B12),"",E12/F12/7)</f>
        <v>207.18636997767854</v>
      </c>
    </row>
    <row r="13" spans="1:7" ht="12.75">
      <c r="A13" s="42">
        <f aca="true" t="shared" si="2" ref="A13:A63">+A12+7</f>
        <v>45388</v>
      </c>
      <c r="B13" s="34">
        <v>9820780.469999999</v>
      </c>
      <c r="C13" s="34">
        <v>129405.91</v>
      </c>
      <c r="D13" s="34">
        <f t="shared" si="0"/>
        <v>8979986.03</v>
      </c>
      <c r="E13" s="34">
        <v>711388.53</v>
      </c>
      <c r="F13" s="35">
        <v>512</v>
      </c>
      <c r="G13" s="34">
        <f t="shared" si="1"/>
        <v>198.49010323660715</v>
      </c>
    </row>
    <row r="14" spans="1:7" ht="12.75">
      <c r="A14" s="42">
        <f t="shared" si="2"/>
        <v>45395</v>
      </c>
      <c r="B14" s="34">
        <v>9570693.66</v>
      </c>
      <c r="C14" s="34">
        <v>116412.44999999998</v>
      </c>
      <c r="D14" s="34">
        <f t="shared" si="0"/>
        <v>8704125.48</v>
      </c>
      <c r="E14" s="34">
        <v>750155.7300000001</v>
      </c>
      <c r="F14" s="35">
        <v>512</v>
      </c>
      <c r="G14" s="34">
        <f t="shared" si="1"/>
        <v>209.30684430803575</v>
      </c>
    </row>
    <row r="15" spans="1:7" ht="12.75">
      <c r="A15" s="42">
        <f t="shared" si="2"/>
        <v>45402</v>
      </c>
      <c r="B15" s="34">
        <v>9471996.04</v>
      </c>
      <c r="C15" s="34">
        <v>96402.25</v>
      </c>
      <c r="D15" s="34">
        <f t="shared" si="0"/>
        <v>8597946.389999999</v>
      </c>
      <c r="E15" s="34">
        <v>777647.4</v>
      </c>
      <c r="F15" s="35">
        <v>512</v>
      </c>
      <c r="G15" s="34">
        <f t="shared" si="1"/>
        <v>216.9775111607143</v>
      </c>
    </row>
    <row r="16" spans="1:7" ht="12.75">
      <c r="A16" s="42">
        <f t="shared" si="2"/>
        <v>45409</v>
      </c>
      <c r="B16" s="34">
        <v>9943752.98</v>
      </c>
      <c r="C16" s="34">
        <v>122350.75</v>
      </c>
      <c r="D16" s="34">
        <f t="shared" si="0"/>
        <v>9137035.8</v>
      </c>
      <c r="E16" s="34">
        <v>684366.4300000002</v>
      </c>
      <c r="F16" s="35">
        <v>512</v>
      </c>
      <c r="G16" s="34">
        <f t="shared" si="1"/>
        <v>190.95045479910718</v>
      </c>
    </row>
    <row r="17" spans="1:7" ht="12.75">
      <c r="A17" s="42">
        <f t="shared" si="2"/>
        <v>45416</v>
      </c>
      <c r="D17" s="34">
        <f t="shared" si="0"/>
      </c>
      <c r="G17" s="34">
        <f t="shared" si="1"/>
      </c>
    </row>
    <row r="18" spans="1:7" ht="12.75">
      <c r="A18" s="42">
        <f t="shared" si="2"/>
        <v>45423</v>
      </c>
      <c r="D18" s="34">
        <f t="shared" si="0"/>
      </c>
      <c r="G18" s="34">
        <f t="shared" si="1"/>
      </c>
    </row>
    <row r="19" spans="1:7" ht="12.75">
      <c r="A19" s="42">
        <f t="shared" si="2"/>
        <v>45430</v>
      </c>
      <c r="D19" s="34">
        <f t="shared" si="0"/>
      </c>
      <c r="G19" s="34">
        <f t="shared" si="1"/>
      </c>
    </row>
    <row r="20" spans="1:7" ht="12.75">
      <c r="A20" s="42">
        <f t="shared" si="2"/>
        <v>45437</v>
      </c>
      <c r="D20" s="34">
        <f t="shared" si="0"/>
      </c>
      <c r="G20" s="34">
        <f t="shared" si="1"/>
      </c>
    </row>
    <row r="21" spans="1:7" ht="12.75">
      <c r="A21" s="42">
        <f t="shared" si="2"/>
        <v>45444</v>
      </c>
      <c r="D21" s="34">
        <f t="shared" si="0"/>
      </c>
      <c r="G21" s="34">
        <f t="shared" si="1"/>
      </c>
    </row>
    <row r="22" spans="1:7" ht="12.75">
      <c r="A22" s="42">
        <f t="shared" si="2"/>
        <v>45451</v>
      </c>
      <c r="D22" s="34">
        <f t="shared" si="0"/>
      </c>
      <c r="G22" s="34">
        <f t="shared" si="1"/>
      </c>
    </row>
    <row r="23" spans="1:7" ht="12.75">
      <c r="A23" s="42">
        <f t="shared" si="2"/>
        <v>45458</v>
      </c>
      <c r="D23" s="34">
        <f t="shared" si="0"/>
      </c>
      <c r="G23" s="34">
        <f t="shared" si="1"/>
      </c>
    </row>
    <row r="24" spans="1:7" ht="12.75">
      <c r="A24" s="42">
        <f t="shared" si="2"/>
        <v>45465</v>
      </c>
      <c r="C24" s="59"/>
      <c r="D24" s="34">
        <f t="shared" si="0"/>
      </c>
      <c r="G24" s="34">
        <f t="shared" si="1"/>
      </c>
    </row>
    <row r="25" spans="1:7" ht="12.75">
      <c r="A25" s="42">
        <f t="shared" si="2"/>
        <v>45472</v>
      </c>
      <c r="D25" s="34">
        <f t="shared" si="0"/>
      </c>
      <c r="G25" s="34">
        <f t="shared" si="1"/>
      </c>
    </row>
    <row r="26" spans="1:7" ht="12.75">
      <c r="A26" s="42">
        <f t="shared" si="2"/>
        <v>45479</v>
      </c>
      <c r="D26" s="34">
        <f t="shared" si="0"/>
      </c>
      <c r="G26" s="34">
        <f t="shared" si="1"/>
      </c>
    </row>
    <row r="27" spans="1:7" ht="12.75">
      <c r="A27" s="42">
        <f t="shared" si="2"/>
        <v>45486</v>
      </c>
      <c r="D27" s="34">
        <f t="shared" si="0"/>
      </c>
      <c r="G27" s="34">
        <f t="shared" si="1"/>
      </c>
    </row>
    <row r="28" spans="1:7" ht="12.75">
      <c r="A28" s="42">
        <f t="shared" si="2"/>
        <v>45493</v>
      </c>
      <c r="D28" s="34">
        <f t="shared" si="0"/>
      </c>
      <c r="G28" s="34">
        <f t="shared" si="1"/>
      </c>
    </row>
    <row r="29" spans="1:7" ht="12.75">
      <c r="A29" s="42">
        <f t="shared" si="2"/>
        <v>45500</v>
      </c>
      <c r="D29" s="34">
        <f t="shared" si="0"/>
      </c>
      <c r="G29" s="34">
        <f t="shared" si="1"/>
      </c>
    </row>
    <row r="30" spans="1:7" ht="12.75">
      <c r="A30" s="42">
        <f t="shared" si="2"/>
        <v>45507</v>
      </c>
      <c r="D30" s="34">
        <f t="shared" si="0"/>
      </c>
      <c r="G30" s="34">
        <f t="shared" si="1"/>
      </c>
    </row>
    <row r="31" spans="1:7" ht="12.75">
      <c r="A31" s="42">
        <f t="shared" si="2"/>
        <v>45514</v>
      </c>
      <c r="D31" s="34">
        <f t="shared" si="0"/>
      </c>
      <c r="G31" s="34">
        <f t="shared" si="1"/>
      </c>
    </row>
    <row r="32" spans="1:7" ht="12.75">
      <c r="A32" s="42">
        <f t="shared" si="2"/>
        <v>45521</v>
      </c>
      <c r="D32" s="34">
        <f t="shared" si="0"/>
      </c>
      <c r="G32" s="34">
        <f t="shared" si="1"/>
      </c>
    </row>
    <row r="33" spans="1:7" ht="12.75">
      <c r="A33" s="42">
        <f t="shared" si="2"/>
        <v>45528</v>
      </c>
      <c r="D33" s="34">
        <f t="shared" si="0"/>
      </c>
      <c r="G33" s="34">
        <f t="shared" si="1"/>
      </c>
    </row>
    <row r="34" spans="1:7" ht="12.75">
      <c r="A34" s="42">
        <f t="shared" si="2"/>
        <v>45535</v>
      </c>
      <c r="D34" s="34">
        <f t="shared" si="0"/>
      </c>
      <c r="G34" s="34">
        <f t="shared" si="1"/>
      </c>
    </row>
    <row r="35" spans="1:7" ht="12.75">
      <c r="A35" s="42">
        <f t="shared" si="2"/>
        <v>45542</v>
      </c>
      <c r="D35" s="34">
        <f t="shared" si="0"/>
      </c>
      <c r="G35" s="34">
        <f t="shared" si="1"/>
      </c>
    </row>
    <row r="36" spans="1:7" ht="12.75">
      <c r="A36" s="42">
        <f t="shared" si="2"/>
        <v>45549</v>
      </c>
      <c r="D36" s="34">
        <f t="shared" si="0"/>
      </c>
      <c r="G36" s="34">
        <f>IF(ISBLANK(B36),"",E36/F36/7)</f>
      </c>
    </row>
    <row r="37" spans="1:7" ht="12.75">
      <c r="A37" s="42">
        <f t="shared" si="2"/>
        <v>45556</v>
      </c>
      <c r="D37" s="34">
        <f t="shared" si="0"/>
      </c>
      <c r="G37" s="34">
        <f aca="true" t="shared" si="3" ref="G37:G63">IF(ISBLANK(B37),"",E37/F37/7)</f>
      </c>
    </row>
    <row r="38" spans="1:7" ht="12.75">
      <c r="A38" s="42">
        <f t="shared" si="2"/>
        <v>45563</v>
      </c>
      <c r="D38" s="34">
        <f t="shared" si="0"/>
      </c>
      <c r="G38" s="34">
        <f t="shared" si="3"/>
      </c>
    </row>
    <row r="39" spans="1:7" ht="12.75">
      <c r="A39" s="42">
        <f t="shared" si="2"/>
        <v>45570</v>
      </c>
      <c r="B39" s="60"/>
      <c r="C39" s="60"/>
      <c r="D39" s="34">
        <f t="shared" si="0"/>
      </c>
      <c r="E39" s="60"/>
      <c r="G39" s="34">
        <f t="shared" si="3"/>
      </c>
    </row>
    <row r="40" spans="1:7" ht="12.75">
      <c r="A40" s="42">
        <f t="shared" si="2"/>
        <v>45577</v>
      </c>
      <c r="D40" s="34">
        <f t="shared" si="0"/>
      </c>
      <c r="E40" s="60"/>
      <c r="G40" s="34">
        <f t="shared" si="3"/>
      </c>
    </row>
    <row r="41" spans="1:7" ht="12.75">
      <c r="A41" s="42">
        <f t="shared" si="2"/>
        <v>45584</v>
      </c>
      <c r="D41" s="34">
        <f t="shared" si="0"/>
      </c>
      <c r="G41" s="34">
        <f t="shared" si="3"/>
      </c>
    </row>
    <row r="42" spans="1:7" ht="12.75">
      <c r="A42" s="42">
        <f t="shared" si="2"/>
        <v>45591</v>
      </c>
      <c r="D42" s="34">
        <f t="shared" si="0"/>
      </c>
      <c r="G42" s="34">
        <f t="shared" si="3"/>
      </c>
    </row>
    <row r="43" spans="1:7" ht="12.75">
      <c r="A43" s="42">
        <f t="shared" si="2"/>
        <v>45598</v>
      </c>
      <c r="D43" s="34">
        <f t="shared" si="0"/>
      </c>
      <c r="G43" s="34">
        <f t="shared" si="3"/>
      </c>
    </row>
    <row r="44" spans="1:7" ht="12.75">
      <c r="A44" s="42">
        <f t="shared" si="2"/>
        <v>45605</v>
      </c>
      <c r="D44" s="34">
        <f t="shared" si="0"/>
      </c>
      <c r="G44" s="34">
        <f t="shared" si="3"/>
      </c>
    </row>
    <row r="45" spans="1:7" ht="12.75">
      <c r="A45" s="42">
        <f t="shared" si="2"/>
        <v>45612</v>
      </c>
      <c r="D45" s="34">
        <f t="shared" si="0"/>
      </c>
      <c r="G45" s="34">
        <f t="shared" si="3"/>
      </c>
    </row>
    <row r="46" spans="1:7" ht="12.75">
      <c r="A46" s="42">
        <f t="shared" si="2"/>
        <v>45619</v>
      </c>
      <c r="D46" s="34">
        <f t="shared" si="0"/>
      </c>
      <c r="G46" s="34">
        <f t="shared" si="3"/>
      </c>
    </row>
    <row r="47" spans="1:7" ht="12.75">
      <c r="A47" s="42">
        <f t="shared" si="2"/>
        <v>45626</v>
      </c>
      <c r="D47" s="34">
        <f t="shared" si="0"/>
      </c>
      <c r="G47" s="34">
        <f t="shared" si="3"/>
      </c>
    </row>
    <row r="48" spans="1:7" ht="12.75">
      <c r="A48" s="42">
        <f t="shared" si="2"/>
        <v>45633</v>
      </c>
      <c r="D48" s="34">
        <f t="shared" si="0"/>
      </c>
      <c r="G48" s="34">
        <f t="shared" si="3"/>
      </c>
    </row>
    <row r="49" spans="1:7" ht="12.75">
      <c r="A49" s="42">
        <f t="shared" si="2"/>
        <v>45640</v>
      </c>
      <c r="D49" s="34">
        <f t="shared" si="0"/>
      </c>
      <c r="G49" s="34">
        <f t="shared" si="3"/>
      </c>
    </row>
    <row r="50" spans="1:7" ht="12.75">
      <c r="A50" s="42">
        <f t="shared" si="2"/>
        <v>45647</v>
      </c>
      <c r="D50" s="34">
        <f t="shared" si="0"/>
      </c>
      <c r="G50" s="34">
        <f t="shared" si="3"/>
      </c>
    </row>
    <row r="51" spans="1:7" ht="12.75">
      <c r="A51" s="42">
        <f t="shared" si="2"/>
        <v>45654</v>
      </c>
      <c r="C51" s="59"/>
      <c r="D51" s="34">
        <f t="shared" si="0"/>
      </c>
      <c r="G51" s="34">
        <f t="shared" si="3"/>
      </c>
    </row>
    <row r="52" spans="1:7" ht="12.75">
      <c r="A52" s="42">
        <f t="shared" si="2"/>
        <v>45661</v>
      </c>
      <c r="D52" s="34">
        <f t="shared" si="0"/>
      </c>
      <c r="G52" s="34">
        <f t="shared" si="3"/>
      </c>
    </row>
    <row r="53" spans="1:7" ht="12.75">
      <c r="A53" s="42">
        <f t="shared" si="2"/>
        <v>45668</v>
      </c>
      <c r="D53" s="34">
        <f t="shared" si="0"/>
      </c>
      <c r="G53" s="34">
        <f t="shared" si="3"/>
      </c>
    </row>
    <row r="54" spans="1:7" ht="12.75">
      <c r="A54" s="42">
        <f t="shared" si="2"/>
        <v>45675</v>
      </c>
      <c r="D54" s="34">
        <f t="shared" si="0"/>
      </c>
      <c r="G54" s="34">
        <f t="shared" si="3"/>
      </c>
    </row>
    <row r="55" spans="1:7" ht="12.75">
      <c r="A55" s="42">
        <f t="shared" si="2"/>
        <v>45682</v>
      </c>
      <c r="D55" s="34">
        <f t="shared" si="0"/>
      </c>
      <c r="G55" s="34">
        <f t="shared" si="3"/>
      </c>
    </row>
    <row r="56" spans="1:7" ht="12.75">
      <c r="A56" s="42">
        <f t="shared" si="2"/>
        <v>45689</v>
      </c>
      <c r="C56" s="59"/>
      <c r="D56" s="34">
        <f t="shared" si="0"/>
      </c>
      <c r="G56" s="34">
        <f t="shared" si="3"/>
      </c>
    </row>
    <row r="57" spans="1:7" ht="12.75">
      <c r="A57" s="42">
        <f t="shared" si="2"/>
        <v>45696</v>
      </c>
      <c r="D57" s="34">
        <f t="shared" si="0"/>
      </c>
      <c r="G57" s="34">
        <f t="shared" si="3"/>
      </c>
    </row>
    <row r="58" spans="1:7" ht="12.75">
      <c r="A58" s="42">
        <f t="shared" si="2"/>
        <v>45703</v>
      </c>
      <c r="D58" s="34">
        <f t="shared" si="0"/>
      </c>
      <c r="G58" s="34">
        <f t="shared" si="3"/>
      </c>
    </row>
    <row r="59" spans="1:7" ht="12.75">
      <c r="A59" s="42">
        <f t="shared" si="2"/>
        <v>45710</v>
      </c>
      <c r="D59" s="34">
        <f t="shared" si="0"/>
      </c>
      <c r="G59" s="34">
        <f t="shared" si="3"/>
      </c>
    </row>
    <row r="60" spans="1:7" ht="12.75">
      <c r="A60" s="42">
        <f t="shared" si="2"/>
        <v>45717</v>
      </c>
      <c r="D60" s="34">
        <f t="shared" si="0"/>
      </c>
      <c r="G60" s="34">
        <f t="shared" si="3"/>
      </c>
    </row>
    <row r="61" spans="1:7" ht="12.75">
      <c r="A61" s="42">
        <f t="shared" si="2"/>
        <v>45724</v>
      </c>
      <c r="D61" s="34">
        <f t="shared" si="0"/>
      </c>
      <c r="G61" s="34">
        <f t="shared" si="3"/>
      </c>
    </row>
    <row r="62" spans="1:7" ht="12.75">
      <c r="A62" s="42">
        <f t="shared" si="2"/>
        <v>45731</v>
      </c>
      <c r="D62" s="34">
        <f t="shared" si="0"/>
      </c>
      <c r="G62" s="34">
        <f t="shared" si="3"/>
      </c>
    </row>
    <row r="63" spans="1:7" ht="12.75">
      <c r="A63" s="42">
        <f t="shared" si="2"/>
        <v>45738</v>
      </c>
      <c r="D63" s="34">
        <f t="shared" si="0"/>
      </c>
      <c r="G63" s="34">
        <f t="shared" si="3"/>
      </c>
    </row>
    <row r="64" spans="1:4" ht="12.75">
      <c r="A64" s="42"/>
      <c r="D64" s="34">
        <f t="shared" si="0"/>
      </c>
    </row>
    <row r="65" ht="12.75">
      <c r="A65" s="42"/>
    </row>
    <row r="66" spans="1:7" ht="13.5" thickBot="1">
      <c r="A66" s="36" t="s">
        <v>8</v>
      </c>
      <c r="B66" s="17">
        <f>IF(SUM(B12:B65)=0,"",SUM(B12:B65))</f>
        <v>48862473.94</v>
      </c>
      <c r="C66" s="17">
        <f>IF(SUM(C12:C65)=0,"",SUM(C12:C65))</f>
        <v>569498.9199999999</v>
      </c>
      <c r="D66" s="17">
        <f>IF(SUM(D12:D65)=0,"",SUM(D12:D65))</f>
        <v>44626860.980000004</v>
      </c>
      <c r="E66" s="17">
        <f>IF(SUM(E12:E65)=0,"",SUM(E12:E65))</f>
        <v>3666114.04</v>
      </c>
      <c r="F66" s="23">
        <f>_xlfn.IFERROR(SUM(F12:F63)/COUNT(F12:F63)," ")</f>
        <v>512</v>
      </c>
      <c r="G66" s="40">
        <f>_xlfn.IFERROR((E66/SUM(F12:F65)/7)," ")</f>
        <v>204.58225669642857</v>
      </c>
    </row>
    <row r="67" spans="1:5" s="37" customFormat="1" ht="13.5" thickTop="1">
      <c r="A67" s="39"/>
      <c r="B67" s="38"/>
      <c r="C67" s="38"/>
      <c r="D67" s="38"/>
      <c r="E67" s="38"/>
    </row>
  </sheetData>
  <sheetProtection/>
  <mergeCells count="6">
    <mergeCell ref="A1:G1"/>
    <mergeCell ref="A2:G2"/>
    <mergeCell ref="A3:G3"/>
    <mergeCell ref="A4:G4"/>
    <mergeCell ref="A5:G5"/>
    <mergeCell ref="A7:G7"/>
  </mergeCells>
  <hyperlinks>
    <hyperlink ref="A4" r:id="rId1" display="www.vernondowns.com"/>
  </hyperlinks>
  <printOptions horizontalCentered="1"/>
  <pageMargins left="0" right="0" top="0.5" bottom="0.5" header="0.5" footer="0.5"/>
  <pageSetup fitToHeight="1" fitToWidth="1" horizontalDpi="600" verticalDpi="600" orientation="portrait" scale="85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zoomScalePageLayoutView="0" workbookViewId="0" topLeftCell="A1">
      <pane ySplit="11" topLeftCell="A60" activePane="bottomLeft" state="frozen"/>
      <selection pane="topLeft" activeCell="A1" sqref="A1"/>
      <selection pane="bottomLeft" activeCell="G66" sqref="G66"/>
    </sheetView>
  </sheetViews>
  <sheetFormatPr defaultColWidth="9.140625" defaultRowHeight="12.75"/>
  <cols>
    <col min="1" max="1" width="15.7109375" style="3" customWidth="1"/>
    <col min="2" max="5" width="15.7109375" style="15" customWidth="1"/>
    <col min="6" max="6" width="15.7109375" style="16" customWidth="1"/>
    <col min="7" max="7" width="15.7109375" style="15" customWidth="1"/>
  </cols>
  <sheetData>
    <row r="1" spans="1:11" ht="18">
      <c r="A1" s="71" t="s">
        <v>19</v>
      </c>
      <c r="B1" s="71"/>
      <c r="C1" s="71"/>
      <c r="D1" s="71"/>
      <c r="E1" s="71"/>
      <c r="F1" s="71"/>
      <c r="G1" s="71"/>
      <c r="H1" s="25"/>
      <c r="I1" s="25"/>
      <c r="J1" s="25"/>
      <c r="K1" s="25"/>
    </row>
    <row r="2" spans="1:11" ht="15">
      <c r="A2" s="72" t="s">
        <v>15</v>
      </c>
      <c r="B2" s="72"/>
      <c r="C2" s="72"/>
      <c r="D2" s="72"/>
      <c r="E2" s="72"/>
      <c r="F2" s="72"/>
      <c r="G2" s="72"/>
      <c r="H2" s="26"/>
      <c r="I2" s="26"/>
      <c r="J2" s="26"/>
      <c r="K2" s="26"/>
    </row>
    <row r="3" spans="1:11" s="1" customFormat="1" ht="15">
      <c r="A3" s="72" t="s">
        <v>16</v>
      </c>
      <c r="B3" s="72"/>
      <c r="C3" s="72"/>
      <c r="D3" s="72"/>
      <c r="E3" s="72"/>
      <c r="F3" s="72"/>
      <c r="G3" s="72"/>
      <c r="H3" s="26"/>
      <c r="I3" s="26"/>
      <c r="J3" s="26"/>
      <c r="K3" s="26"/>
    </row>
    <row r="4" spans="1:11" s="1" customFormat="1" ht="14.25" customHeight="1">
      <c r="A4" s="63" t="s">
        <v>17</v>
      </c>
      <c r="B4" s="63"/>
      <c r="C4" s="63"/>
      <c r="D4" s="63"/>
      <c r="E4" s="63"/>
      <c r="F4" s="63"/>
      <c r="G4" s="63"/>
      <c r="H4" s="27"/>
      <c r="I4" s="27"/>
      <c r="J4" s="27"/>
      <c r="K4" s="27"/>
    </row>
    <row r="5" spans="1:11" s="1" customFormat="1" ht="14.25">
      <c r="A5" s="73" t="s">
        <v>18</v>
      </c>
      <c r="B5" s="73"/>
      <c r="C5" s="73"/>
      <c r="D5" s="73"/>
      <c r="E5" s="73"/>
      <c r="F5" s="73"/>
      <c r="G5" s="73"/>
      <c r="H5" s="28"/>
      <c r="I5" s="28"/>
      <c r="J5" s="28"/>
      <c r="K5" s="28"/>
    </row>
    <row r="6" spans="1:11" s="1" customFormat="1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7" s="1" customFormat="1" ht="12.75">
      <c r="A7" s="3"/>
      <c r="B7" s="4"/>
      <c r="C7" s="4"/>
      <c r="D7" s="4"/>
      <c r="E7" s="5"/>
      <c r="F7" s="6"/>
      <c r="G7" s="5"/>
    </row>
    <row r="8" spans="1:7" s="7" customFormat="1" ht="14.25" customHeight="1">
      <c r="A8" s="68" t="s">
        <v>27</v>
      </c>
      <c r="B8" s="69"/>
      <c r="C8" s="69"/>
      <c r="D8" s="69"/>
      <c r="E8" s="69"/>
      <c r="F8" s="69"/>
      <c r="G8" s="70"/>
    </row>
    <row r="9" spans="1:7" s="1" customFormat="1" ht="9" customHeight="1">
      <c r="A9" s="3"/>
      <c r="B9" s="4"/>
      <c r="C9" s="4"/>
      <c r="D9" s="4"/>
      <c r="E9" s="5"/>
      <c r="F9" s="6"/>
      <c r="G9" s="5"/>
    </row>
    <row r="10" spans="1:7" s="12" customFormat="1" ht="12">
      <c r="A10" s="9"/>
      <c r="B10" s="10" t="s">
        <v>0</v>
      </c>
      <c r="C10" s="10" t="s">
        <v>22</v>
      </c>
      <c r="D10" s="10" t="s">
        <v>0</v>
      </c>
      <c r="E10" s="10"/>
      <c r="F10" s="11" t="s">
        <v>1</v>
      </c>
      <c r="G10" s="10" t="s">
        <v>2</v>
      </c>
    </row>
    <row r="11" spans="1:7" s="12" customFormat="1" ht="12">
      <c r="A11" s="13" t="s">
        <v>11</v>
      </c>
      <c r="B11" s="8" t="s">
        <v>3</v>
      </c>
      <c r="C11" s="8" t="s">
        <v>24</v>
      </c>
      <c r="D11" s="8" t="s">
        <v>4</v>
      </c>
      <c r="E11" s="8" t="s">
        <v>5</v>
      </c>
      <c r="F11" s="14" t="s">
        <v>6</v>
      </c>
      <c r="G11" s="8" t="s">
        <v>7</v>
      </c>
    </row>
    <row r="13" spans="1:7" ht="12.75">
      <c r="A13" s="22">
        <v>42091</v>
      </c>
      <c r="B13" s="15">
        <v>10811846</v>
      </c>
      <c r="C13" s="15">
        <f>118028.15-3580</f>
        <v>114448.15</v>
      </c>
      <c r="D13" s="15">
        <f aca="true" t="shared" si="0" ref="D13:D65">+B13-C13-E13</f>
        <v>9855104.85</v>
      </c>
      <c r="E13" s="15">
        <v>842293</v>
      </c>
      <c r="F13" s="16">
        <v>767</v>
      </c>
      <c r="G13" s="15">
        <v>157</v>
      </c>
    </row>
    <row r="14" spans="1:7" ht="12.75">
      <c r="A14" s="22">
        <f aca="true" t="shared" si="1" ref="A14:A65">+A13+7</f>
        <v>42098</v>
      </c>
      <c r="B14" s="15">
        <v>11712757</v>
      </c>
      <c r="C14" s="15">
        <v>114140.7</v>
      </c>
      <c r="D14" s="15">
        <f t="shared" si="0"/>
        <v>10675955.3</v>
      </c>
      <c r="E14" s="15">
        <v>922661</v>
      </c>
      <c r="F14" s="16">
        <v>767</v>
      </c>
      <c r="G14" s="15">
        <v>172</v>
      </c>
    </row>
    <row r="15" spans="1:7" ht="12.75">
      <c r="A15" s="22">
        <f t="shared" si="1"/>
        <v>42105</v>
      </c>
      <c r="B15" s="15">
        <v>11020883</v>
      </c>
      <c r="C15" s="15">
        <v>112629.38</v>
      </c>
      <c r="D15" s="15">
        <f t="shared" si="0"/>
        <v>10049733.62</v>
      </c>
      <c r="E15" s="15">
        <v>858520</v>
      </c>
      <c r="F15" s="16">
        <v>767</v>
      </c>
      <c r="G15" s="15">
        <v>160</v>
      </c>
    </row>
    <row r="16" spans="1:7" ht="12.75">
      <c r="A16" s="22">
        <f t="shared" si="1"/>
        <v>42112</v>
      </c>
      <c r="B16" s="15">
        <v>11355394</v>
      </c>
      <c r="C16" s="15">
        <v>126953.09</v>
      </c>
      <c r="D16" s="15">
        <f t="shared" si="0"/>
        <v>10335686.91</v>
      </c>
      <c r="E16" s="15">
        <v>892754</v>
      </c>
      <c r="F16" s="16">
        <v>767</v>
      </c>
      <c r="G16" s="15">
        <v>166</v>
      </c>
    </row>
    <row r="17" spans="1:7" ht="12.75">
      <c r="A17" s="22">
        <f t="shared" si="1"/>
        <v>42119</v>
      </c>
      <c r="B17" s="15">
        <v>11163194</v>
      </c>
      <c r="C17" s="15">
        <v>116955.61</v>
      </c>
      <c r="D17" s="15">
        <f t="shared" si="0"/>
        <v>10190122.39</v>
      </c>
      <c r="E17" s="15">
        <v>856116</v>
      </c>
      <c r="F17" s="16">
        <v>767</v>
      </c>
      <c r="G17" s="15">
        <v>159</v>
      </c>
    </row>
    <row r="18" spans="1:7" ht="12.75">
      <c r="A18" s="22">
        <f t="shared" si="1"/>
        <v>42126</v>
      </c>
      <c r="B18" s="15">
        <v>11775997</v>
      </c>
      <c r="C18" s="15">
        <f>138224.74-4886</f>
        <v>133338.74</v>
      </c>
      <c r="D18" s="15">
        <f t="shared" si="0"/>
        <v>10708986.26</v>
      </c>
      <c r="E18" s="15">
        <v>933672</v>
      </c>
      <c r="F18" s="16">
        <v>767</v>
      </c>
      <c r="G18" s="15">
        <v>174</v>
      </c>
    </row>
    <row r="19" spans="1:7" ht="12.75">
      <c r="A19" s="22">
        <f t="shared" si="1"/>
        <v>42133</v>
      </c>
      <c r="B19" s="15">
        <v>9926327</v>
      </c>
      <c r="C19" s="15">
        <v>104039.05</v>
      </c>
      <c r="D19" s="15">
        <f t="shared" si="0"/>
        <v>9041248.95</v>
      </c>
      <c r="E19" s="15">
        <v>781039</v>
      </c>
      <c r="F19" s="16">
        <v>767</v>
      </c>
      <c r="G19" s="15">
        <v>145</v>
      </c>
    </row>
    <row r="20" spans="1:7" ht="12.75">
      <c r="A20" s="22">
        <f t="shared" si="1"/>
        <v>42140</v>
      </c>
      <c r="B20" s="15">
        <v>11047429</v>
      </c>
      <c r="C20" s="15">
        <v>136231.39</v>
      </c>
      <c r="D20" s="15">
        <f t="shared" si="0"/>
        <v>10055109.61</v>
      </c>
      <c r="E20" s="15">
        <v>856088</v>
      </c>
      <c r="F20" s="16">
        <v>767</v>
      </c>
      <c r="G20" s="15">
        <v>159</v>
      </c>
    </row>
    <row r="21" spans="1:7" ht="12.75">
      <c r="A21" s="22">
        <f t="shared" si="1"/>
        <v>42147</v>
      </c>
      <c r="B21" s="15">
        <v>11067690</v>
      </c>
      <c r="C21" s="15">
        <v>142558</v>
      </c>
      <c r="D21" s="15">
        <f t="shared" si="0"/>
        <v>10080376</v>
      </c>
      <c r="E21" s="15">
        <v>844756</v>
      </c>
      <c r="F21" s="16">
        <v>767</v>
      </c>
      <c r="G21" s="15">
        <v>157</v>
      </c>
    </row>
    <row r="22" spans="1:7" ht="12.75">
      <c r="A22" s="22">
        <f t="shared" si="1"/>
        <v>42154</v>
      </c>
      <c r="B22" s="15">
        <v>11447199</v>
      </c>
      <c r="C22" s="15">
        <v>143412.2</v>
      </c>
      <c r="D22" s="15">
        <f t="shared" si="0"/>
        <v>10462269.8</v>
      </c>
      <c r="E22" s="15">
        <v>841517</v>
      </c>
      <c r="F22" s="16">
        <v>767</v>
      </c>
      <c r="G22" s="15">
        <v>157</v>
      </c>
    </row>
    <row r="23" spans="1:7" ht="12.75">
      <c r="A23" s="22">
        <f t="shared" si="1"/>
        <v>42161</v>
      </c>
      <c r="B23" s="15">
        <v>11206464</v>
      </c>
      <c r="C23" s="15">
        <v>126322.32</v>
      </c>
      <c r="D23" s="15">
        <f t="shared" si="0"/>
        <v>10241476.68</v>
      </c>
      <c r="E23" s="15">
        <v>838665</v>
      </c>
      <c r="F23" s="16">
        <v>767</v>
      </c>
      <c r="G23" s="15">
        <v>156</v>
      </c>
    </row>
    <row r="24" spans="1:7" ht="12.75">
      <c r="A24" s="22">
        <f t="shared" si="1"/>
        <v>42168</v>
      </c>
      <c r="B24" s="15">
        <v>9753236</v>
      </c>
      <c r="C24" s="15">
        <v>119219.03</v>
      </c>
      <c r="D24" s="15">
        <f t="shared" si="0"/>
        <v>8887407.97</v>
      </c>
      <c r="E24" s="15">
        <v>746609</v>
      </c>
      <c r="F24" s="16">
        <v>767</v>
      </c>
      <c r="G24" s="15">
        <v>139</v>
      </c>
    </row>
    <row r="25" spans="1:7" ht="12.75">
      <c r="A25" s="22">
        <f t="shared" si="1"/>
        <v>42175</v>
      </c>
      <c r="B25" s="15">
        <v>9620195</v>
      </c>
      <c r="C25" s="15">
        <v>101658.28</v>
      </c>
      <c r="D25" s="15">
        <f t="shared" si="0"/>
        <v>8792409.72</v>
      </c>
      <c r="E25" s="15">
        <v>726127</v>
      </c>
      <c r="F25" s="16">
        <v>767</v>
      </c>
      <c r="G25" s="15">
        <v>135</v>
      </c>
    </row>
    <row r="26" spans="1:7" ht="12.75">
      <c r="A26" s="22">
        <f t="shared" si="1"/>
        <v>42182</v>
      </c>
      <c r="B26" s="15">
        <v>10068298</v>
      </c>
      <c r="C26" s="15">
        <v>121608.2</v>
      </c>
      <c r="D26" s="15">
        <f t="shared" si="0"/>
        <v>9168035.8</v>
      </c>
      <c r="E26" s="15">
        <v>778654</v>
      </c>
      <c r="F26" s="16">
        <v>767</v>
      </c>
      <c r="G26" s="15">
        <v>145</v>
      </c>
    </row>
    <row r="27" spans="1:7" ht="12.75">
      <c r="A27" s="22">
        <f t="shared" si="1"/>
        <v>42189</v>
      </c>
      <c r="B27" s="15">
        <v>11572100</v>
      </c>
      <c r="C27" s="15">
        <f>121534.62-3690</f>
        <v>117844.62</v>
      </c>
      <c r="D27" s="15">
        <f t="shared" si="0"/>
        <v>10567063.38</v>
      </c>
      <c r="E27" s="15">
        <v>887192</v>
      </c>
      <c r="F27" s="16">
        <v>767</v>
      </c>
      <c r="G27" s="15">
        <v>165</v>
      </c>
    </row>
    <row r="28" spans="1:7" ht="12.75">
      <c r="A28" s="22">
        <f t="shared" si="1"/>
        <v>42196</v>
      </c>
      <c r="B28" s="15">
        <v>10555096</v>
      </c>
      <c r="C28" s="15">
        <v>112277.56</v>
      </c>
      <c r="D28" s="15">
        <f t="shared" si="0"/>
        <v>9682684.44</v>
      </c>
      <c r="E28" s="15">
        <v>760134</v>
      </c>
      <c r="F28" s="16">
        <v>767</v>
      </c>
      <c r="G28" s="15">
        <v>142</v>
      </c>
    </row>
    <row r="29" spans="1:7" ht="12.75">
      <c r="A29" s="22">
        <f t="shared" si="1"/>
        <v>42203</v>
      </c>
      <c r="B29" s="15">
        <v>10650641</v>
      </c>
      <c r="C29" s="15">
        <v>113484.55</v>
      </c>
      <c r="D29" s="15">
        <f t="shared" si="0"/>
        <v>9749478.45</v>
      </c>
      <c r="E29" s="15">
        <v>787678</v>
      </c>
      <c r="F29" s="16">
        <v>767</v>
      </c>
      <c r="G29" s="15">
        <v>147</v>
      </c>
    </row>
    <row r="30" spans="1:7" ht="12.75">
      <c r="A30" s="22">
        <f t="shared" si="1"/>
        <v>42210</v>
      </c>
      <c r="B30" s="15">
        <v>9957561</v>
      </c>
      <c r="C30" s="15">
        <v>112288.24</v>
      </c>
      <c r="D30" s="15">
        <f t="shared" si="0"/>
        <v>9056924.76</v>
      </c>
      <c r="E30" s="15">
        <v>788348</v>
      </c>
      <c r="F30" s="16">
        <v>767</v>
      </c>
      <c r="G30" s="15">
        <v>147</v>
      </c>
    </row>
    <row r="31" spans="1:7" ht="12.75">
      <c r="A31" s="22">
        <f t="shared" si="1"/>
        <v>42217</v>
      </c>
      <c r="B31" s="15">
        <v>10103655</v>
      </c>
      <c r="C31" s="15">
        <v>122884.2</v>
      </c>
      <c r="D31" s="15">
        <f t="shared" si="0"/>
        <v>9214535.8</v>
      </c>
      <c r="E31" s="15">
        <v>766235</v>
      </c>
      <c r="F31" s="16">
        <v>767</v>
      </c>
      <c r="G31" s="15">
        <v>143</v>
      </c>
    </row>
    <row r="32" spans="1:7" ht="12.75">
      <c r="A32" s="22">
        <f t="shared" si="1"/>
        <v>42224</v>
      </c>
      <c r="B32" s="15">
        <v>9818944</v>
      </c>
      <c r="C32" s="15">
        <v>106045.55</v>
      </c>
      <c r="D32" s="15">
        <f t="shared" si="0"/>
        <v>8983593.45</v>
      </c>
      <c r="E32" s="15">
        <v>729305</v>
      </c>
      <c r="F32" s="16">
        <v>767</v>
      </c>
      <c r="G32" s="15">
        <v>136</v>
      </c>
    </row>
    <row r="33" spans="1:7" ht="12.75">
      <c r="A33" s="22">
        <f t="shared" si="1"/>
        <v>42231</v>
      </c>
      <c r="B33" s="15">
        <v>10619181</v>
      </c>
      <c r="C33" s="15">
        <v>130503.32</v>
      </c>
      <c r="D33" s="15">
        <f t="shared" si="0"/>
        <v>9685481.68</v>
      </c>
      <c r="E33" s="15">
        <v>803196</v>
      </c>
      <c r="F33" s="16">
        <v>767</v>
      </c>
      <c r="G33" s="15">
        <v>150</v>
      </c>
    </row>
    <row r="34" spans="1:7" ht="12.75">
      <c r="A34" s="22">
        <f t="shared" si="1"/>
        <v>42238</v>
      </c>
      <c r="B34" s="15">
        <v>9637490</v>
      </c>
      <c r="C34" s="15">
        <v>112727.21</v>
      </c>
      <c r="D34" s="15">
        <f t="shared" si="0"/>
        <v>8769919.79</v>
      </c>
      <c r="E34" s="15">
        <v>754843</v>
      </c>
      <c r="F34" s="16">
        <v>767</v>
      </c>
      <c r="G34" s="15">
        <v>141</v>
      </c>
    </row>
    <row r="35" spans="1:7" ht="12.75">
      <c r="A35" s="22">
        <f t="shared" si="1"/>
        <v>42245</v>
      </c>
      <c r="B35" s="15">
        <v>9478922</v>
      </c>
      <c r="C35" s="15">
        <v>113514.26</v>
      </c>
      <c r="D35" s="15">
        <f t="shared" si="0"/>
        <v>8597352.74</v>
      </c>
      <c r="E35" s="15">
        <v>768055</v>
      </c>
      <c r="F35" s="16">
        <v>767</v>
      </c>
      <c r="G35" s="15">
        <v>143</v>
      </c>
    </row>
    <row r="36" spans="1:7" ht="12.75">
      <c r="A36" s="22">
        <f t="shared" si="1"/>
        <v>42252</v>
      </c>
      <c r="B36" s="15">
        <v>10136064</v>
      </c>
      <c r="C36" s="15">
        <v>111386.46</v>
      </c>
      <c r="D36" s="15">
        <f t="shared" si="0"/>
        <v>9278655.54</v>
      </c>
      <c r="E36" s="15">
        <v>746022</v>
      </c>
      <c r="F36" s="16">
        <v>767</v>
      </c>
      <c r="G36" s="15">
        <v>139</v>
      </c>
    </row>
    <row r="37" spans="1:7" ht="12.75">
      <c r="A37" s="22">
        <f t="shared" si="1"/>
        <v>42259</v>
      </c>
      <c r="B37" s="15">
        <v>10439972</v>
      </c>
      <c r="C37" s="15">
        <v>118773.12</v>
      </c>
      <c r="D37" s="15">
        <f t="shared" si="0"/>
        <v>9496061.88</v>
      </c>
      <c r="E37" s="15">
        <v>825137</v>
      </c>
      <c r="F37" s="16">
        <v>767</v>
      </c>
      <c r="G37" s="15">
        <v>154</v>
      </c>
    </row>
    <row r="38" spans="1:7" ht="12.75">
      <c r="A38" s="22">
        <f t="shared" si="1"/>
        <v>42266</v>
      </c>
      <c r="B38" s="15">
        <v>8804494</v>
      </c>
      <c r="C38" s="15">
        <v>93669.39</v>
      </c>
      <c r="D38" s="15">
        <f t="shared" si="0"/>
        <v>8038277.609999999</v>
      </c>
      <c r="E38" s="15">
        <v>672547</v>
      </c>
      <c r="F38" s="16">
        <v>767</v>
      </c>
      <c r="G38" s="15">
        <v>125</v>
      </c>
    </row>
    <row r="39" spans="1:7" ht="12.75">
      <c r="A39" s="22">
        <f t="shared" si="1"/>
        <v>42273</v>
      </c>
      <c r="B39" s="15">
        <v>9705487</v>
      </c>
      <c r="C39" s="15">
        <v>122887.38</v>
      </c>
      <c r="D39" s="15">
        <f t="shared" si="0"/>
        <v>8900965.62</v>
      </c>
      <c r="E39" s="15">
        <v>681634</v>
      </c>
      <c r="F39" s="16">
        <v>767</v>
      </c>
      <c r="G39" s="15">
        <v>127</v>
      </c>
    </row>
    <row r="40" spans="1:7" ht="12.75">
      <c r="A40" s="22">
        <f t="shared" si="1"/>
        <v>42280</v>
      </c>
      <c r="B40" s="15">
        <v>9001437</v>
      </c>
      <c r="C40" s="15">
        <v>106143.64</v>
      </c>
      <c r="D40" s="15">
        <f t="shared" si="0"/>
        <v>8190770.359999999</v>
      </c>
      <c r="E40" s="15">
        <v>704523</v>
      </c>
      <c r="F40" s="16">
        <v>767</v>
      </c>
      <c r="G40" s="15">
        <v>131</v>
      </c>
    </row>
    <row r="41" spans="1:7" ht="12.75">
      <c r="A41" s="22">
        <f t="shared" si="1"/>
        <v>42287</v>
      </c>
      <c r="B41" s="15">
        <v>8611744</v>
      </c>
      <c r="C41" s="15">
        <f>90121.75-3620</f>
        <v>86501.75</v>
      </c>
      <c r="D41" s="15">
        <f t="shared" si="0"/>
        <v>7871766.25</v>
      </c>
      <c r="E41" s="15">
        <v>653476</v>
      </c>
      <c r="F41" s="16">
        <v>767</v>
      </c>
      <c r="G41" s="15">
        <v>122</v>
      </c>
    </row>
    <row r="42" spans="1:7" ht="12.75">
      <c r="A42" s="22">
        <f t="shared" si="1"/>
        <v>42294</v>
      </c>
      <c r="B42" s="15">
        <v>9286368</v>
      </c>
      <c r="C42" s="15">
        <v>122051.55</v>
      </c>
      <c r="D42" s="15">
        <f t="shared" si="0"/>
        <v>8491647.45</v>
      </c>
      <c r="E42" s="15">
        <v>672669</v>
      </c>
      <c r="F42" s="16">
        <v>767</v>
      </c>
      <c r="G42" s="15">
        <v>125</v>
      </c>
    </row>
    <row r="43" spans="1:7" ht="12.75">
      <c r="A43" s="22">
        <f t="shared" si="1"/>
        <v>42301</v>
      </c>
      <c r="B43" s="15">
        <v>9093216</v>
      </c>
      <c r="C43" s="15">
        <v>114823</v>
      </c>
      <c r="D43" s="15">
        <f t="shared" si="0"/>
        <v>8309820</v>
      </c>
      <c r="E43" s="15">
        <v>668573</v>
      </c>
      <c r="F43" s="16">
        <v>767</v>
      </c>
      <c r="G43" s="15">
        <v>125</v>
      </c>
    </row>
    <row r="44" spans="1:7" ht="12.75">
      <c r="A44" s="22">
        <f t="shared" si="1"/>
        <v>42308</v>
      </c>
      <c r="B44" s="15">
        <v>8702685</v>
      </c>
      <c r="C44" s="15">
        <v>102910</v>
      </c>
      <c r="D44" s="15">
        <f t="shared" si="0"/>
        <v>7951001</v>
      </c>
      <c r="E44" s="15">
        <v>648774</v>
      </c>
      <c r="F44" s="16">
        <v>767</v>
      </c>
      <c r="G44" s="15">
        <v>121</v>
      </c>
    </row>
    <row r="45" spans="1:7" ht="12.75">
      <c r="A45" s="22">
        <f t="shared" si="1"/>
        <v>42315</v>
      </c>
      <c r="B45" s="15">
        <v>10566870</v>
      </c>
      <c r="C45" s="15">
        <v>151025</v>
      </c>
      <c r="D45" s="15">
        <f t="shared" si="0"/>
        <v>9630948</v>
      </c>
      <c r="E45" s="15">
        <v>784897</v>
      </c>
      <c r="F45" s="16">
        <v>767</v>
      </c>
      <c r="G45" s="15">
        <v>146</v>
      </c>
    </row>
    <row r="46" spans="1:7" ht="12.75">
      <c r="A46" s="22">
        <f t="shared" si="1"/>
        <v>42322</v>
      </c>
      <c r="B46" s="15">
        <v>10269407</v>
      </c>
      <c r="C46" s="15">
        <v>133904.65</v>
      </c>
      <c r="D46" s="15">
        <f t="shared" si="0"/>
        <v>9391149.35</v>
      </c>
      <c r="E46" s="15">
        <v>744353</v>
      </c>
      <c r="F46" s="16">
        <v>767</v>
      </c>
      <c r="G46" s="15">
        <v>139</v>
      </c>
    </row>
    <row r="47" spans="1:7" ht="12.75">
      <c r="A47" s="22">
        <f t="shared" si="1"/>
        <v>42329</v>
      </c>
      <c r="B47" s="15">
        <v>8743491</v>
      </c>
      <c r="C47" s="15">
        <v>125793</v>
      </c>
      <c r="D47" s="15">
        <f t="shared" si="0"/>
        <v>7996953</v>
      </c>
      <c r="E47" s="15">
        <v>620745</v>
      </c>
      <c r="F47" s="16">
        <v>767</v>
      </c>
      <c r="G47" s="15">
        <v>116</v>
      </c>
    </row>
    <row r="48" spans="1:7" ht="12.75">
      <c r="A48" s="22">
        <f t="shared" si="1"/>
        <v>42336</v>
      </c>
      <c r="B48" s="15">
        <v>9078383</v>
      </c>
      <c r="C48" s="15">
        <v>118686</v>
      </c>
      <c r="D48" s="15">
        <f t="shared" si="0"/>
        <v>8253322</v>
      </c>
      <c r="E48" s="15">
        <v>706375</v>
      </c>
      <c r="F48" s="16">
        <v>767</v>
      </c>
      <c r="G48" s="15">
        <v>132</v>
      </c>
    </row>
    <row r="49" spans="1:7" ht="12.75">
      <c r="A49" s="22">
        <f t="shared" si="1"/>
        <v>42343</v>
      </c>
      <c r="B49" s="15">
        <v>8453479</v>
      </c>
      <c r="C49" s="15">
        <v>126226.9</v>
      </c>
      <c r="D49" s="15">
        <f t="shared" si="0"/>
        <v>7711799.1</v>
      </c>
      <c r="E49" s="15">
        <v>615453</v>
      </c>
      <c r="F49" s="16">
        <v>767</v>
      </c>
      <c r="G49" s="15">
        <v>115</v>
      </c>
    </row>
    <row r="50" spans="1:7" ht="12.75">
      <c r="A50" s="22">
        <f t="shared" si="1"/>
        <v>42350</v>
      </c>
      <c r="B50" s="15">
        <v>9273308</v>
      </c>
      <c r="C50" s="15">
        <v>138562.55</v>
      </c>
      <c r="D50" s="15">
        <f t="shared" si="0"/>
        <v>8469814.45</v>
      </c>
      <c r="E50" s="15">
        <v>664931</v>
      </c>
      <c r="F50" s="16">
        <f>5369/7</f>
        <v>767</v>
      </c>
      <c r="G50" s="15">
        <v>124</v>
      </c>
    </row>
    <row r="51" spans="1:7" ht="12.75">
      <c r="A51" s="22">
        <f t="shared" si="1"/>
        <v>42357</v>
      </c>
      <c r="B51" s="15">
        <v>8137283</v>
      </c>
      <c r="C51" s="15">
        <v>115913.35</v>
      </c>
      <c r="D51" s="15">
        <f t="shared" si="0"/>
        <v>7417767.65</v>
      </c>
      <c r="E51" s="15">
        <v>603602</v>
      </c>
      <c r="F51" s="16">
        <v>767</v>
      </c>
      <c r="G51" s="15">
        <v>112</v>
      </c>
    </row>
    <row r="52" spans="1:7" ht="12.75">
      <c r="A52" s="22">
        <f t="shared" si="1"/>
        <v>42364</v>
      </c>
      <c r="B52" s="15">
        <v>8262089</v>
      </c>
      <c r="C52" s="15">
        <v>112394.95</v>
      </c>
      <c r="D52" s="15">
        <f t="shared" si="0"/>
        <v>7465431.05</v>
      </c>
      <c r="E52" s="15">
        <v>684263</v>
      </c>
      <c r="F52" s="16">
        <f>5369/7</f>
        <v>767</v>
      </c>
      <c r="G52" s="15">
        <v>127</v>
      </c>
    </row>
    <row r="53" spans="1:7" ht="12.75">
      <c r="A53" s="22">
        <f t="shared" si="1"/>
        <v>42371</v>
      </c>
      <c r="B53" s="15">
        <v>11296687</v>
      </c>
      <c r="C53" s="15">
        <v>144932.7</v>
      </c>
      <c r="D53" s="15">
        <f t="shared" si="0"/>
        <v>10316790.3</v>
      </c>
      <c r="E53" s="15">
        <v>834964</v>
      </c>
      <c r="F53" s="16">
        <v>767</v>
      </c>
      <c r="G53" s="15">
        <v>156</v>
      </c>
    </row>
    <row r="54" spans="1:7" ht="12.75">
      <c r="A54" s="22">
        <f t="shared" si="1"/>
        <v>42378</v>
      </c>
      <c r="B54" s="15">
        <v>8123801</v>
      </c>
      <c r="C54" s="15">
        <v>118017.91</v>
      </c>
      <c r="D54" s="15">
        <f t="shared" si="0"/>
        <v>7401055.09</v>
      </c>
      <c r="E54" s="15">
        <v>604728</v>
      </c>
      <c r="F54" s="16">
        <v>767</v>
      </c>
      <c r="G54" s="15">
        <v>113</v>
      </c>
    </row>
    <row r="55" spans="1:7" ht="12.75">
      <c r="A55" s="22">
        <f t="shared" si="1"/>
        <v>42385</v>
      </c>
      <c r="B55" s="15">
        <v>8128925</v>
      </c>
      <c r="C55" s="15">
        <v>117469.93</v>
      </c>
      <c r="D55" s="15">
        <f t="shared" si="0"/>
        <v>7404784.07</v>
      </c>
      <c r="E55" s="15">
        <v>606671</v>
      </c>
      <c r="F55" s="16">
        <v>767</v>
      </c>
      <c r="G55" s="15">
        <v>113</v>
      </c>
    </row>
    <row r="56" spans="1:7" ht="12.75">
      <c r="A56" s="22">
        <f t="shared" si="1"/>
        <v>42392</v>
      </c>
      <c r="B56" s="15">
        <v>8064219</v>
      </c>
      <c r="C56" s="15">
        <f>115387.68-18675</f>
        <v>96712.68</v>
      </c>
      <c r="D56" s="15">
        <f t="shared" si="0"/>
        <v>7414855.32</v>
      </c>
      <c r="E56" s="15">
        <v>552651</v>
      </c>
      <c r="F56" s="16">
        <v>767</v>
      </c>
      <c r="G56" s="15">
        <v>103</v>
      </c>
    </row>
    <row r="57" spans="1:7" ht="12.75">
      <c r="A57" s="22">
        <f t="shared" si="1"/>
        <v>42399</v>
      </c>
      <c r="B57" s="15">
        <v>8165306</v>
      </c>
      <c r="C57" s="15">
        <v>114570.13</v>
      </c>
      <c r="D57" s="15">
        <f t="shared" si="0"/>
        <v>7437909.87</v>
      </c>
      <c r="E57" s="15">
        <v>612826</v>
      </c>
      <c r="F57" s="16">
        <v>767</v>
      </c>
      <c r="G57" s="15">
        <v>114</v>
      </c>
    </row>
    <row r="58" spans="1:7" ht="12.75">
      <c r="A58" s="22">
        <f t="shared" si="1"/>
        <v>42406</v>
      </c>
      <c r="B58" s="15">
        <v>9434034</v>
      </c>
      <c r="C58" s="15">
        <v>118303</v>
      </c>
      <c r="D58" s="15">
        <f t="shared" si="0"/>
        <v>8608295</v>
      </c>
      <c r="E58" s="15">
        <v>707436</v>
      </c>
      <c r="F58" s="16">
        <v>767</v>
      </c>
      <c r="G58" s="15">
        <v>132</v>
      </c>
    </row>
    <row r="59" spans="1:7" ht="12.75">
      <c r="A59" s="22">
        <f t="shared" si="1"/>
        <v>42413</v>
      </c>
      <c r="B59" s="15">
        <v>7191188</v>
      </c>
      <c r="C59" s="15">
        <v>72076.25</v>
      </c>
      <c r="D59" s="15">
        <f t="shared" si="0"/>
        <v>6580087.75</v>
      </c>
      <c r="E59" s="15">
        <v>539024</v>
      </c>
      <c r="F59" s="16">
        <v>767</v>
      </c>
      <c r="G59" s="15">
        <v>100</v>
      </c>
    </row>
    <row r="60" spans="1:7" ht="12.75">
      <c r="A60" s="22">
        <f t="shared" si="1"/>
        <v>42420</v>
      </c>
      <c r="B60" s="15">
        <v>9418394</v>
      </c>
      <c r="C60" s="15">
        <v>114520.65</v>
      </c>
      <c r="D60" s="15">
        <f t="shared" si="0"/>
        <v>8568721.35</v>
      </c>
      <c r="E60" s="15">
        <v>735152</v>
      </c>
      <c r="F60" s="16">
        <v>767</v>
      </c>
      <c r="G60" s="15">
        <v>137</v>
      </c>
    </row>
    <row r="61" spans="1:7" ht="12.75">
      <c r="A61" s="22">
        <f t="shared" si="1"/>
        <v>42427</v>
      </c>
      <c r="B61" s="15">
        <v>9106773</v>
      </c>
      <c r="C61" s="15">
        <f>107092.67-20465</f>
        <v>86627.67</v>
      </c>
      <c r="D61" s="15">
        <f t="shared" si="0"/>
        <v>8328541.33</v>
      </c>
      <c r="E61" s="15">
        <v>691604</v>
      </c>
      <c r="F61" s="16">
        <v>767</v>
      </c>
      <c r="G61" s="15">
        <v>129</v>
      </c>
    </row>
    <row r="62" spans="1:7" ht="12.75">
      <c r="A62" s="22">
        <f t="shared" si="1"/>
        <v>42434</v>
      </c>
      <c r="B62" s="15">
        <v>10103701</v>
      </c>
      <c r="C62" s="15">
        <v>120723.1</v>
      </c>
      <c r="D62" s="15">
        <f t="shared" si="0"/>
        <v>9261430.9</v>
      </c>
      <c r="E62" s="15">
        <v>721547</v>
      </c>
      <c r="F62" s="16">
        <v>767</v>
      </c>
      <c r="G62" s="15">
        <v>134</v>
      </c>
    </row>
    <row r="63" spans="1:7" ht="12.75">
      <c r="A63" s="22">
        <f t="shared" si="1"/>
        <v>42441</v>
      </c>
      <c r="B63" s="15">
        <v>10242903</v>
      </c>
      <c r="C63" s="15">
        <v>105021.3</v>
      </c>
      <c r="D63" s="15">
        <f t="shared" si="0"/>
        <v>9335572.7</v>
      </c>
      <c r="E63" s="15">
        <v>802309</v>
      </c>
      <c r="F63" s="16">
        <v>767</v>
      </c>
      <c r="G63" s="15">
        <v>149</v>
      </c>
    </row>
    <row r="64" spans="1:7" ht="12.75">
      <c r="A64" s="22">
        <f t="shared" si="1"/>
        <v>42448</v>
      </c>
      <c r="B64" s="15">
        <v>10437201</v>
      </c>
      <c r="C64" s="15">
        <v>125339.15</v>
      </c>
      <c r="D64" s="15">
        <f t="shared" si="0"/>
        <v>9495768.85</v>
      </c>
      <c r="E64" s="15">
        <v>816093</v>
      </c>
      <c r="F64" s="16">
        <v>767</v>
      </c>
      <c r="G64" s="15">
        <v>152</v>
      </c>
    </row>
    <row r="65" spans="1:7" ht="12.75">
      <c r="A65" s="22">
        <f t="shared" si="1"/>
        <v>42455</v>
      </c>
      <c r="B65" s="15">
        <v>9149580</v>
      </c>
      <c r="C65" s="15">
        <v>105661.15</v>
      </c>
      <c r="D65" s="15">
        <f t="shared" si="0"/>
        <v>8374334.85</v>
      </c>
      <c r="E65" s="15">
        <v>669584</v>
      </c>
      <c r="F65" s="16">
        <v>767</v>
      </c>
      <c r="G65" s="15">
        <v>125</v>
      </c>
    </row>
    <row r="66" ht="12.75">
      <c r="A66" s="22"/>
    </row>
    <row r="67" spans="1:7" ht="13.5" thickBot="1">
      <c r="A67" s="3" t="s">
        <v>8</v>
      </c>
      <c r="B67" s="17">
        <f>SUM(B13:B65)</f>
        <v>519798988</v>
      </c>
      <c r="C67" s="17">
        <f>SUM(C13:C65)</f>
        <v>6196711.96</v>
      </c>
      <c r="D67" s="17">
        <f>SUM(D13:D65)</f>
        <v>474245256.03999996</v>
      </c>
      <c r="E67" s="17">
        <f>SUM(E13:E65)</f>
        <v>39357020</v>
      </c>
      <c r="F67" s="23">
        <f>SUM(F13:F65)/COUNT(F13:F65)</f>
        <v>767</v>
      </c>
      <c r="G67" s="17">
        <f>+E67/SUM(F13:F65)/7</f>
        <v>138.30979381986737</v>
      </c>
    </row>
    <row r="68" spans="1:5" s="21" customFormat="1" ht="13.5" thickTop="1">
      <c r="A68" s="19"/>
      <c r="B68" s="20"/>
      <c r="C68" s="20"/>
      <c r="D68" s="20"/>
      <c r="E68" s="20"/>
    </row>
  </sheetData>
  <sheetProtection/>
  <mergeCells count="6">
    <mergeCell ref="A8:G8"/>
    <mergeCell ref="A1:G1"/>
    <mergeCell ref="A2:G2"/>
    <mergeCell ref="A3:G3"/>
    <mergeCell ref="A4:G4"/>
    <mergeCell ref="A5:G5"/>
  </mergeCells>
  <hyperlinks>
    <hyperlink ref="A4" r:id="rId1" display="www.vernondowns.com"/>
  </hyperlinks>
  <printOptions horizontalCentered="1"/>
  <pageMargins left="0" right="0" top="0.5" bottom="0.5" header="0.5" footer="0.5"/>
  <pageSetup fitToHeight="1" fitToWidth="1" horizontalDpi="600" verticalDpi="600" orientation="portrait" scale="85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PageLayoutView="0" workbookViewId="0" topLeftCell="A1">
      <pane ySplit="11" topLeftCell="A57" activePane="bottomLeft" state="frozen"/>
      <selection pane="topLeft" activeCell="A1" sqref="A1"/>
      <selection pane="bottomLeft" activeCell="D67" sqref="D67"/>
    </sheetView>
  </sheetViews>
  <sheetFormatPr defaultColWidth="9.140625" defaultRowHeight="12.75"/>
  <cols>
    <col min="1" max="1" width="15.7109375" style="3" customWidth="1"/>
    <col min="2" max="5" width="15.7109375" style="15" customWidth="1"/>
    <col min="6" max="6" width="15.7109375" style="16" customWidth="1"/>
    <col min="7" max="7" width="15.7109375" style="15" customWidth="1"/>
  </cols>
  <sheetData>
    <row r="1" spans="1:11" ht="18">
      <c r="A1" s="71" t="s">
        <v>19</v>
      </c>
      <c r="B1" s="71"/>
      <c r="C1" s="71"/>
      <c r="D1" s="71"/>
      <c r="E1" s="71"/>
      <c r="F1" s="71"/>
      <c r="G1" s="71"/>
      <c r="H1" s="25"/>
      <c r="I1" s="25"/>
      <c r="J1" s="25"/>
      <c r="K1" s="25"/>
    </row>
    <row r="2" spans="1:11" ht="15">
      <c r="A2" s="72" t="s">
        <v>15</v>
      </c>
      <c r="B2" s="72"/>
      <c r="C2" s="72"/>
      <c r="D2" s="72"/>
      <c r="E2" s="72"/>
      <c r="F2" s="72"/>
      <c r="G2" s="72"/>
      <c r="H2" s="26"/>
      <c r="I2" s="26"/>
      <c r="J2" s="26"/>
      <c r="K2" s="26"/>
    </row>
    <row r="3" spans="1:11" s="1" customFormat="1" ht="15">
      <c r="A3" s="72" t="s">
        <v>16</v>
      </c>
      <c r="B3" s="72"/>
      <c r="C3" s="72"/>
      <c r="D3" s="72"/>
      <c r="E3" s="72"/>
      <c r="F3" s="72"/>
      <c r="G3" s="72"/>
      <c r="H3" s="26"/>
      <c r="I3" s="26"/>
      <c r="J3" s="26"/>
      <c r="K3" s="26"/>
    </row>
    <row r="4" spans="1:11" s="1" customFormat="1" ht="14.25" customHeight="1">
      <c r="A4" s="63" t="s">
        <v>17</v>
      </c>
      <c r="B4" s="63"/>
      <c r="C4" s="63"/>
      <c r="D4" s="63"/>
      <c r="E4" s="63"/>
      <c r="F4" s="63"/>
      <c r="G4" s="63"/>
      <c r="H4" s="27"/>
      <c r="I4" s="27"/>
      <c r="J4" s="27"/>
      <c r="K4" s="27"/>
    </row>
    <row r="5" spans="1:11" s="1" customFormat="1" ht="14.25">
      <c r="A5" s="73" t="s">
        <v>18</v>
      </c>
      <c r="B5" s="73"/>
      <c r="C5" s="73"/>
      <c r="D5" s="73"/>
      <c r="E5" s="73"/>
      <c r="F5" s="73"/>
      <c r="G5" s="73"/>
      <c r="H5" s="28"/>
      <c r="I5" s="28"/>
      <c r="J5" s="28"/>
      <c r="K5" s="28"/>
    </row>
    <row r="6" spans="1:11" s="1" customFormat="1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7" s="1" customFormat="1" ht="12.75">
      <c r="A7" s="3"/>
      <c r="B7" s="4"/>
      <c r="C7" s="4"/>
      <c r="D7" s="4"/>
      <c r="E7" s="5"/>
      <c r="F7" s="6"/>
      <c r="G7" s="5"/>
    </row>
    <row r="8" spans="1:7" s="7" customFormat="1" ht="14.25" customHeight="1">
      <c r="A8" s="68" t="s">
        <v>26</v>
      </c>
      <c r="B8" s="69"/>
      <c r="C8" s="69"/>
      <c r="D8" s="69"/>
      <c r="E8" s="69"/>
      <c r="F8" s="69"/>
      <c r="G8" s="70"/>
    </row>
    <row r="9" spans="1:7" s="1" customFormat="1" ht="9" customHeight="1">
      <c r="A9" s="3"/>
      <c r="B9" s="4"/>
      <c r="C9" s="4"/>
      <c r="D9" s="4"/>
      <c r="E9" s="5"/>
      <c r="F9" s="6"/>
      <c r="G9" s="5"/>
    </row>
    <row r="10" spans="1:7" s="12" customFormat="1" ht="12">
      <c r="A10" s="9"/>
      <c r="B10" s="10" t="s">
        <v>0</v>
      </c>
      <c r="C10" s="10" t="s">
        <v>22</v>
      </c>
      <c r="D10" s="10" t="s">
        <v>0</v>
      </c>
      <c r="E10" s="10"/>
      <c r="F10" s="11" t="s">
        <v>1</v>
      </c>
      <c r="G10" s="10" t="s">
        <v>2</v>
      </c>
    </row>
    <row r="11" spans="1:7" s="12" customFormat="1" ht="12">
      <c r="A11" s="13" t="s">
        <v>11</v>
      </c>
      <c r="B11" s="8" t="s">
        <v>3</v>
      </c>
      <c r="C11" s="8" t="s">
        <v>24</v>
      </c>
      <c r="D11" s="8" t="s">
        <v>4</v>
      </c>
      <c r="E11" s="8" t="s">
        <v>5</v>
      </c>
      <c r="F11" s="14" t="s">
        <v>6</v>
      </c>
      <c r="G11" s="8" t="s">
        <v>7</v>
      </c>
    </row>
    <row r="13" spans="1:7" ht="12.75">
      <c r="A13" s="22">
        <v>41727</v>
      </c>
      <c r="B13" s="15">
        <v>9986765.75</v>
      </c>
      <c r="C13" s="15">
        <f>73963.75-3590</f>
        <v>70373.75</v>
      </c>
      <c r="D13" s="15">
        <f aca="true" t="shared" si="0" ref="D13:D64">+B13-C13-E13</f>
        <v>9093545</v>
      </c>
      <c r="E13" s="15">
        <v>822847</v>
      </c>
      <c r="F13" s="16">
        <v>767</v>
      </c>
      <c r="G13" s="15">
        <v>153</v>
      </c>
    </row>
    <row r="14" spans="1:7" ht="12.75">
      <c r="A14" s="22">
        <f aca="true" t="shared" si="1" ref="A14:A64">+A13+7</f>
        <v>41734</v>
      </c>
      <c r="B14" s="15">
        <v>10782301.31</v>
      </c>
      <c r="C14" s="15">
        <v>96261.31</v>
      </c>
      <c r="D14" s="15">
        <f t="shared" si="0"/>
        <v>9793896</v>
      </c>
      <c r="E14" s="15">
        <v>892144</v>
      </c>
      <c r="F14" s="16">
        <v>767</v>
      </c>
      <c r="G14" s="15">
        <v>166</v>
      </c>
    </row>
    <row r="15" spans="1:7" ht="12.75">
      <c r="A15" s="22">
        <f t="shared" si="1"/>
        <v>41741</v>
      </c>
      <c r="B15" s="15">
        <v>10239928.16</v>
      </c>
      <c r="C15" s="15">
        <v>77103.16</v>
      </c>
      <c r="D15" s="15">
        <f t="shared" si="0"/>
        <v>9308142</v>
      </c>
      <c r="E15" s="15">
        <v>854683</v>
      </c>
      <c r="F15" s="16">
        <v>767</v>
      </c>
      <c r="G15" s="15">
        <v>159</v>
      </c>
    </row>
    <row r="16" spans="1:7" ht="12.75">
      <c r="A16" s="22">
        <f t="shared" si="1"/>
        <v>41748</v>
      </c>
      <c r="B16" s="15">
        <v>10802764.94</v>
      </c>
      <c r="C16" s="15">
        <f>92287.94-91958</f>
        <v>329.9400000000023</v>
      </c>
      <c r="D16" s="15">
        <f t="shared" si="0"/>
        <v>9855289</v>
      </c>
      <c r="E16" s="15">
        <v>947146</v>
      </c>
      <c r="F16" s="16">
        <v>767</v>
      </c>
      <c r="G16" s="15">
        <v>176</v>
      </c>
    </row>
    <row r="17" spans="1:7" ht="12.75">
      <c r="A17" s="22">
        <f t="shared" si="1"/>
        <v>41755</v>
      </c>
      <c r="B17" s="15">
        <v>10537242.21</v>
      </c>
      <c r="C17" s="15">
        <v>88219.21</v>
      </c>
      <c r="D17" s="15">
        <f t="shared" si="0"/>
        <v>9595627</v>
      </c>
      <c r="E17" s="15">
        <v>853396</v>
      </c>
      <c r="F17" s="16">
        <v>767</v>
      </c>
      <c r="G17" s="15">
        <v>159</v>
      </c>
    </row>
    <row r="18" spans="1:7" ht="12.75">
      <c r="A18" s="22">
        <f t="shared" si="1"/>
        <v>41762</v>
      </c>
      <c r="B18" s="15">
        <v>11725943.8</v>
      </c>
      <c r="C18" s="15">
        <f>103126.8-3750</f>
        <v>99376.8</v>
      </c>
      <c r="D18" s="15">
        <f t="shared" si="0"/>
        <v>10685093</v>
      </c>
      <c r="E18" s="15">
        <v>941474</v>
      </c>
      <c r="F18" s="16">
        <v>767</v>
      </c>
      <c r="G18" s="15">
        <v>175</v>
      </c>
    </row>
    <row r="19" spans="1:7" ht="12.75">
      <c r="A19" s="22">
        <f t="shared" si="1"/>
        <v>41769</v>
      </c>
      <c r="B19" s="15">
        <v>9768428.9</v>
      </c>
      <c r="C19" s="15">
        <v>90240.9</v>
      </c>
      <c r="D19" s="15">
        <f t="shared" si="0"/>
        <v>8853337</v>
      </c>
      <c r="E19" s="15">
        <v>824851</v>
      </c>
      <c r="F19" s="16">
        <v>767</v>
      </c>
      <c r="G19" s="15">
        <v>154</v>
      </c>
    </row>
    <row r="20" spans="1:7" ht="12.75">
      <c r="A20" s="22">
        <f t="shared" si="1"/>
        <v>41776</v>
      </c>
      <c r="B20" s="15">
        <v>10015208.7</v>
      </c>
      <c r="C20" s="15">
        <v>94071.7</v>
      </c>
      <c r="D20" s="15">
        <f t="shared" si="0"/>
        <v>9111699</v>
      </c>
      <c r="E20" s="15">
        <v>809438</v>
      </c>
      <c r="F20" s="16">
        <v>767</v>
      </c>
      <c r="G20" s="15">
        <v>151</v>
      </c>
    </row>
    <row r="21" spans="1:7" ht="12.75">
      <c r="A21" s="22">
        <f t="shared" si="1"/>
        <v>41783</v>
      </c>
      <c r="B21" s="15">
        <v>10446411.45</v>
      </c>
      <c r="C21" s="15">
        <v>95161.45</v>
      </c>
      <c r="D21" s="15">
        <f t="shared" si="0"/>
        <v>9539106</v>
      </c>
      <c r="E21" s="15">
        <v>812144</v>
      </c>
      <c r="F21" s="16">
        <v>767</v>
      </c>
      <c r="G21" s="15">
        <v>151</v>
      </c>
    </row>
    <row r="22" spans="1:7" ht="12.75">
      <c r="A22" s="22">
        <f t="shared" si="1"/>
        <v>41790</v>
      </c>
      <c r="B22" s="15">
        <v>9838146.72</v>
      </c>
      <c r="C22" s="15">
        <v>76125.72</v>
      </c>
      <c r="D22" s="15">
        <f t="shared" si="0"/>
        <v>8948170</v>
      </c>
      <c r="E22" s="15">
        <v>813851</v>
      </c>
      <c r="F22" s="16">
        <v>767</v>
      </c>
      <c r="G22" s="15">
        <v>152</v>
      </c>
    </row>
    <row r="23" spans="1:7" ht="12.75">
      <c r="A23" s="22">
        <f t="shared" si="1"/>
        <v>41797</v>
      </c>
      <c r="B23" s="15">
        <v>10068140.19</v>
      </c>
      <c r="C23" s="15">
        <v>100512.19</v>
      </c>
      <c r="D23" s="15">
        <f t="shared" si="0"/>
        <v>9128631</v>
      </c>
      <c r="E23" s="15">
        <v>838997</v>
      </c>
      <c r="F23" s="16">
        <v>767</v>
      </c>
      <c r="G23" s="15">
        <v>156</v>
      </c>
    </row>
    <row r="24" spans="1:7" ht="12.75">
      <c r="A24" s="22">
        <f t="shared" si="1"/>
        <v>41804</v>
      </c>
      <c r="B24" s="15">
        <v>9759987.51</v>
      </c>
      <c r="C24" s="15">
        <v>80043.51</v>
      </c>
      <c r="D24" s="15">
        <f t="shared" si="0"/>
        <v>8872921</v>
      </c>
      <c r="E24" s="15">
        <v>807023</v>
      </c>
      <c r="F24" s="16">
        <v>767</v>
      </c>
      <c r="G24" s="15">
        <v>150</v>
      </c>
    </row>
    <row r="25" spans="1:7" ht="12.75">
      <c r="A25" s="22">
        <f t="shared" si="1"/>
        <v>41811</v>
      </c>
      <c r="B25" s="15">
        <v>9905419.8</v>
      </c>
      <c r="C25" s="15">
        <v>98047.8</v>
      </c>
      <c r="D25" s="15">
        <f t="shared" si="0"/>
        <v>9001395</v>
      </c>
      <c r="E25" s="15">
        <v>805977</v>
      </c>
      <c r="F25" s="16">
        <v>767</v>
      </c>
      <c r="G25" s="15">
        <v>150</v>
      </c>
    </row>
    <row r="26" spans="1:7" ht="12.75">
      <c r="A26" s="22">
        <f t="shared" si="1"/>
        <v>41818</v>
      </c>
      <c r="B26" s="15">
        <v>10132751.79</v>
      </c>
      <c r="C26" s="15">
        <v>97123.79</v>
      </c>
      <c r="D26" s="15">
        <f t="shared" si="0"/>
        <v>9249745</v>
      </c>
      <c r="E26" s="15">
        <v>785883</v>
      </c>
      <c r="F26" s="16">
        <v>767</v>
      </c>
      <c r="G26" s="15">
        <v>146</v>
      </c>
    </row>
    <row r="27" spans="1:7" ht="12.75">
      <c r="A27" s="22">
        <f t="shared" si="1"/>
        <v>41825</v>
      </c>
      <c r="B27" s="15">
        <v>11691502.33</v>
      </c>
      <c r="C27" s="15">
        <v>107901.33</v>
      </c>
      <c r="D27" s="15">
        <f t="shared" si="0"/>
        <v>10665287</v>
      </c>
      <c r="E27" s="15">
        <v>918314</v>
      </c>
      <c r="F27" s="16">
        <v>767</v>
      </c>
      <c r="G27" s="15">
        <v>171</v>
      </c>
    </row>
    <row r="28" spans="1:7" ht="12.75">
      <c r="A28" s="22">
        <f t="shared" si="1"/>
        <v>41832</v>
      </c>
      <c r="B28" s="15">
        <v>9978540.45</v>
      </c>
      <c r="C28" s="15">
        <v>79527.45</v>
      </c>
      <c r="D28" s="15">
        <f t="shared" si="0"/>
        <v>9065281</v>
      </c>
      <c r="E28" s="15">
        <v>833732</v>
      </c>
      <c r="F28" s="16">
        <v>767</v>
      </c>
      <c r="G28" s="15">
        <v>155</v>
      </c>
    </row>
    <row r="29" spans="1:7" ht="12.75">
      <c r="A29" s="22">
        <f t="shared" si="1"/>
        <v>41839</v>
      </c>
      <c r="B29" s="15">
        <v>10329728.17</v>
      </c>
      <c r="C29" s="15">
        <v>102146.17</v>
      </c>
      <c r="D29" s="15">
        <f t="shared" si="0"/>
        <v>9401483</v>
      </c>
      <c r="E29" s="15">
        <v>826099</v>
      </c>
      <c r="F29" s="16">
        <v>767</v>
      </c>
      <c r="G29" s="15">
        <v>154</v>
      </c>
    </row>
    <row r="30" spans="1:7" ht="12.75">
      <c r="A30" s="22">
        <f t="shared" si="1"/>
        <v>41846</v>
      </c>
      <c r="B30" s="15">
        <v>10254878.6</v>
      </c>
      <c r="C30" s="15">
        <f>82885.6-3580</f>
        <v>79305.6</v>
      </c>
      <c r="D30" s="15">
        <f t="shared" si="0"/>
        <v>9342559</v>
      </c>
      <c r="E30" s="15">
        <v>833014</v>
      </c>
      <c r="F30" s="16">
        <v>767</v>
      </c>
      <c r="G30" s="15">
        <v>155</v>
      </c>
    </row>
    <row r="31" spans="1:7" ht="12.75">
      <c r="A31" s="22">
        <f t="shared" si="1"/>
        <v>41853</v>
      </c>
      <c r="B31" s="15">
        <v>10904830.3</v>
      </c>
      <c r="C31" s="15">
        <v>99880.3</v>
      </c>
      <c r="D31" s="15">
        <f t="shared" si="0"/>
        <v>9953928</v>
      </c>
      <c r="E31" s="15">
        <v>851022</v>
      </c>
      <c r="F31" s="16">
        <v>767</v>
      </c>
      <c r="G31" s="15">
        <v>159</v>
      </c>
    </row>
    <row r="32" spans="1:7" ht="12.75">
      <c r="A32" s="22">
        <f t="shared" si="1"/>
        <v>41860</v>
      </c>
      <c r="B32" s="15">
        <v>10435113.65</v>
      </c>
      <c r="C32" s="15">
        <v>102717.65</v>
      </c>
      <c r="D32" s="15">
        <f t="shared" si="0"/>
        <v>9535214</v>
      </c>
      <c r="E32" s="15">
        <v>797182</v>
      </c>
      <c r="F32" s="16">
        <v>767</v>
      </c>
      <c r="G32" s="15">
        <v>148</v>
      </c>
    </row>
    <row r="33" spans="1:7" ht="12.75">
      <c r="A33" s="22">
        <f t="shared" si="1"/>
        <v>41867</v>
      </c>
      <c r="B33" s="15">
        <v>11640444.21</v>
      </c>
      <c r="C33" s="15">
        <v>118973.21</v>
      </c>
      <c r="D33" s="15">
        <f t="shared" si="0"/>
        <v>10576824</v>
      </c>
      <c r="E33" s="15">
        <v>944647</v>
      </c>
      <c r="F33" s="16">
        <v>767</v>
      </c>
      <c r="G33" s="15">
        <v>176</v>
      </c>
    </row>
    <row r="34" spans="1:7" ht="12.75">
      <c r="A34" s="22">
        <f t="shared" si="1"/>
        <v>41874</v>
      </c>
      <c r="B34" s="15">
        <v>10570447.33</v>
      </c>
      <c r="C34" s="15">
        <v>103531.33</v>
      </c>
      <c r="D34" s="15">
        <f t="shared" si="0"/>
        <v>9647529</v>
      </c>
      <c r="E34" s="15">
        <v>819387</v>
      </c>
      <c r="F34" s="16">
        <v>767</v>
      </c>
      <c r="G34" s="15">
        <v>153</v>
      </c>
    </row>
    <row r="35" spans="1:7" ht="12.75">
      <c r="A35" s="22">
        <f t="shared" si="1"/>
        <v>41881</v>
      </c>
      <c r="B35" s="15">
        <v>11129466.35</v>
      </c>
      <c r="C35" s="15">
        <f>114075.35-13470</f>
        <v>100605.35</v>
      </c>
      <c r="D35" s="15">
        <f t="shared" si="0"/>
        <v>10144390</v>
      </c>
      <c r="E35" s="15">
        <v>884471</v>
      </c>
      <c r="F35" s="16">
        <v>767</v>
      </c>
      <c r="G35" s="15">
        <v>165</v>
      </c>
    </row>
    <row r="36" spans="1:7" ht="12.75">
      <c r="A36" s="22">
        <f t="shared" si="1"/>
        <v>41888</v>
      </c>
      <c r="B36" s="15">
        <v>11833388.95</v>
      </c>
      <c r="C36" s="15">
        <v>129961.95</v>
      </c>
      <c r="D36" s="15">
        <f t="shared" si="0"/>
        <v>10777872</v>
      </c>
      <c r="E36" s="15">
        <v>925555</v>
      </c>
      <c r="F36" s="16">
        <v>767</v>
      </c>
      <c r="G36" s="15">
        <v>172</v>
      </c>
    </row>
    <row r="37" spans="1:7" ht="12.75">
      <c r="A37" s="22">
        <f t="shared" si="1"/>
        <v>41895</v>
      </c>
      <c r="B37" s="15">
        <v>10155706.63</v>
      </c>
      <c r="C37" s="15">
        <v>95398.63</v>
      </c>
      <c r="D37" s="15">
        <f t="shared" si="0"/>
        <v>9277714</v>
      </c>
      <c r="E37" s="15">
        <v>782594</v>
      </c>
      <c r="F37" s="16">
        <v>767</v>
      </c>
      <c r="G37" s="15">
        <v>146</v>
      </c>
    </row>
    <row r="38" spans="1:7" ht="12.75">
      <c r="A38" s="22">
        <f t="shared" si="1"/>
        <v>41902</v>
      </c>
      <c r="B38" s="15">
        <v>10082709.85</v>
      </c>
      <c r="C38" s="15">
        <v>103599.85</v>
      </c>
      <c r="D38" s="15">
        <f t="shared" si="0"/>
        <v>9162888</v>
      </c>
      <c r="E38" s="15">
        <v>816222</v>
      </c>
      <c r="F38" s="16">
        <v>767</v>
      </c>
      <c r="G38" s="15">
        <v>152</v>
      </c>
    </row>
    <row r="39" spans="1:7" ht="12.75">
      <c r="A39" s="22">
        <f t="shared" si="1"/>
        <v>41909</v>
      </c>
      <c r="B39" s="15">
        <v>10273771.7</v>
      </c>
      <c r="C39" s="15">
        <v>117315.7</v>
      </c>
      <c r="D39" s="15">
        <f t="shared" si="0"/>
        <v>9392567</v>
      </c>
      <c r="E39" s="15">
        <v>763889</v>
      </c>
      <c r="F39" s="16">
        <v>767</v>
      </c>
      <c r="G39" s="15">
        <v>142</v>
      </c>
    </row>
    <row r="40" spans="1:7" ht="12.75">
      <c r="A40" s="22">
        <f t="shared" si="1"/>
        <v>41916</v>
      </c>
      <c r="B40" s="15">
        <v>10537424.85</v>
      </c>
      <c r="C40" s="15">
        <f>114499.85-23883</f>
        <v>90616.85</v>
      </c>
      <c r="D40" s="15">
        <f t="shared" si="0"/>
        <v>9600979</v>
      </c>
      <c r="E40" s="15">
        <v>845829</v>
      </c>
      <c r="F40" s="16">
        <v>767</v>
      </c>
      <c r="G40" s="15">
        <v>158</v>
      </c>
    </row>
    <row r="41" spans="1:7" ht="12.75">
      <c r="A41" s="22">
        <f t="shared" si="1"/>
        <v>41923</v>
      </c>
      <c r="B41" s="15">
        <v>10016021.24</v>
      </c>
      <c r="C41" s="15">
        <v>88765.24</v>
      </c>
      <c r="D41" s="15">
        <f t="shared" si="0"/>
        <v>9101173</v>
      </c>
      <c r="E41" s="15">
        <v>826083</v>
      </c>
      <c r="F41" s="16">
        <v>767</v>
      </c>
      <c r="G41" s="15">
        <v>154</v>
      </c>
    </row>
    <row r="42" spans="1:7" ht="12.75">
      <c r="A42" s="22">
        <f t="shared" si="1"/>
        <v>41930</v>
      </c>
      <c r="B42" s="15">
        <v>10171624.06</v>
      </c>
      <c r="C42" s="15">
        <v>110889.06</v>
      </c>
      <c r="D42" s="15">
        <f t="shared" si="0"/>
        <v>9272551</v>
      </c>
      <c r="E42" s="15">
        <v>788184</v>
      </c>
      <c r="F42" s="16">
        <v>767</v>
      </c>
      <c r="G42" s="15">
        <v>147</v>
      </c>
    </row>
    <row r="43" spans="1:7" ht="12.75">
      <c r="A43" s="22">
        <f t="shared" si="1"/>
        <v>41937</v>
      </c>
      <c r="B43" s="15">
        <v>10320583.2</v>
      </c>
      <c r="C43" s="15">
        <v>125569.2</v>
      </c>
      <c r="D43" s="15">
        <f t="shared" si="0"/>
        <v>9401413</v>
      </c>
      <c r="E43" s="15">
        <v>793601</v>
      </c>
      <c r="F43" s="16">
        <v>767</v>
      </c>
      <c r="G43" s="15">
        <v>148</v>
      </c>
    </row>
    <row r="44" spans="1:7" ht="12.75">
      <c r="A44" s="22">
        <f t="shared" si="1"/>
        <v>41944</v>
      </c>
      <c r="B44" s="15">
        <v>9967374.2</v>
      </c>
      <c r="C44" s="15">
        <v>104145.2</v>
      </c>
      <c r="D44" s="15">
        <f t="shared" si="0"/>
        <v>9091106</v>
      </c>
      <c r="E44" s="15">
        <v>772123</v>
      </c>
      <c r="F44" s="16">
        <v>767</v>
      </c>
      <c r="G44" s="15">
        <v>144</v>
      </c>
    </row>
    <row r="45" spans="1:7" ht="12.75">
      <c r="A45" s="22">
        <f t="shared" si="1"/>
        <v>41951</v>
      </c>
      <c r="B45" s="15">
        <v>9224270.17</v>
      </c>
      <c r="C45" s="15">
        <v>96047.17</v>
      </c>
      <c r="D45" s="15">
        <f t="shared" si="0"/>
        <v>8382989</v>
      </c>
      <c r="E45" s="15">
        <v>745234</v>
      </c>
      <c r="F45" s="16">
        <v>767</v>
      </c>
      <c r="G45" s="15">
        <v>139</v>
      </c>
    </row>
    <row r="46" spans="1:7" ht="12.75">
      <c r="A46" s="22">
        <f t="shared" si="1"/>
        <v>41958</v>
      </c>
      <c r="B46" s="15">
        <v>9241191.25</v>
      </c>
      <c r="C46" s="15">
        <v>105978.25</v>
      </c>
      <c r="D46" s="15">
        <f t="shared" si="0"/>
        <v>8385350</v>
      </c>
      <c r="E46" s="15">
        <v>749863</v>
      </c>
      <c r="F46" s="16">
        <v>767</v>
      </c>
      <c r="G46" s="15">
        <v>140</v>
      </c>
    </row>
    <row r="47" spans="1:7" ht="12.75">
      <c r="A47" s="22">
        <f t="shared" si="1"/>
        <v>41965</v>
      </c>
      <c r="B47" s="15">
        <v>7208738.85</v>
      </c>
      <c r="C47" s="15">
        <v>65140.85</v>
      </c>
      <c r="D47" s="15">
        <f t="shared" si="0"/>
        <v>6592026</v>
      </c>
      <c r="E47" s="15">
        <v>551572</v>
      </c>
      <c r="F47" s="16">
        <v>767</v>
      </c>
      <c r="G47" s="15">
        <v>103</v>
      </c>
    </row>
    <row r="48" spans="1:7" ht="12.75">
      <c r="A48" s="22">
        <f t="shared" si="1"/>
        <v>41972</v>
      </c>
      <c r="B48" s="15">
        <v>9113813.85</v>
      </c>
      <c r="C48" s="15">
        <v>92576.85</v>
      </c>
      <c r="D48" s="15">
        <f t="shared" si="0"/>
        <v>8307418</v>
      </c>
      <c r="E48" s="15">
        <v>713819</v>
      </c>
      <c r="F48" s="16">
        <v>767</v>
      </c>
      <c r="G48" s="15">
        <v>133</v>
      </c>
    </row>
    <row r="49" spans="1:7" ht="12.75">
      <c r="A49" s="22">
        <f t="shared" si="1"/>
        <v>41979</v>
      </c>
      <c r="B49" s="15">
        <v>8222719.79</v>
      </c>
      <c r="C49" s="15">
        <f>87416.79-3590</f>
        <v>83826.79</v>
      </c>
      <c r="D49" s="15">
        <f t="shared" si="0"/>
        <v>7473964</v>
      </c>
      <c r="E49" s="15">
        <v>664929</v>
      </c>
      <c r="F49" s="16">
        <v>767</v>
      </c>
      <c r="G49" s="15">
        <v>124</v>
      </c>
    </row>
    <row r="50" spans="1:7" ht="12.75">
      <c r="A50" s="22">
        <f t="shared" si="1"/>
        <v>41986</v>
      </c>
      <c r="B50" s="15">
        <v>6756818.4</v>
      </c>
      <c r="C50" s="15">
        <v>67719.4</v>
      </c>
      <c r="D50" s="15">
        <f t="shared" si="0"/>
        <v>6141910</v>
      </c>
      <c r="E50" s="15">
        <v>547189</v>
      </c>
      <c r="F50" s="16">
        <v>767</v>
      </c>
      <c r="G50" s="15">
        <v>102</v>
      </c>
    </row>
    <row r="51" spans="1:7" ht="12.75">
      <c r="A51" s="22">
        <f t="shared" si="1"/>
        <v>41993</v>
      </c>
      <c r="B51" s="15">
        <v>8164282.91</v>
      </c>
      <c r="C51" s="15">
        <v>96084.91</v>
      </c>
      <c r="D51" s="15">
        <f t="shared" si="0"/>
        <v>7430672</v>
      </c>
      <c r="E51" s="15">
        <v>637526</v>
      </c>
      <c r="F51" s="16">
        <v>767</v>
      </c>
      <c r="G51" s="15">
        <v>119</v>
      </c>
    </row>
    <row r="52" spans="1:7" ht="12.75">
      <c r="A52" s="22">
        <f t="shared" si="1"/>
        <v>42000</v>
      </c>
      <c r="B52" s="15">
        <v>9991646.64</v>
      </c>
      <c r="C52" s="15">
        <v>98077.64</v>
      </c>
      <c r="D52" s="15">
        <f t="shared" si="0"/>
        <v>9125310</v>
      </c>
      <c r="E52" s="15">
        <v>768259</v>
      </c>
      <c r="F52" s="16">
        <v>767</v>
      </c>
      <c r="G52" s="15">
        <v>143</v>
      </c>
    </row>
    <row r="53" spans="1:7" ht="12.75">
      <c r="A53" s="22">
        <f t="shared" si="1"/>
        <v>42007</v>
      </c>
      <c r="B53" s="15">
        <v>11122611.42</v>
      </c>
      <c r="C53" s="15">
        <v>122062.42</v>
      </c>
      <c r="D53" s="15">
        <f t="shared" si="0"/>
        <v>10158257</v>
      </c>
      <c r="E53" s="15">
        <v>842292</v>
      </c>
      <c r="F53" s="16">
        <v>767</v>
      </c>
      <c r="G53" s="15">
        <v>157</v>
      </c>
    </row>
    <row r="54" spans="1:7" ht="12.75">
      <c r="A54" s="22">
        <f t="shared" si="1"/>
        <v>42014</v>
      </c>
      <c r="B54" s="15">
        <v>6768242.15</v>
      </c>
      <c r="C54" s="15">
        <v>58919.15</v>
      </c>
      <c r="D54" s="15">
        <f t="shared" si="0"/>
        <v>6201845</v>
      </c>
      <c r="E54" s="15">
        <v>507478</v>
      </c>
      <c r="F54" s="16">
        <v>767</v>
      </c>
      <c r="G54" s="15">
        <v>95</v>
      </c>
    </row>
    <row r="55" spans="1:7" ht="12.75">
      <c r="A55" s="22">
        <f t="shared" si="1"/>
        <v>42021</v>
      </c>
      <c r="B55" s="15">
        <v>8469456.33</v>
      </c>
      <c r="C55" s="15">
        <v>104784.33</v>
      </c>
      <c r="D55" s="15">
        <f t="shared" si="0"/>
        <v>7736083</v>
      </c>
      <c r="E55" s="15">
        <v>628589</v>
      </c>
      <c r="F55" s="16">
        <v>767</v>
      </c>
      <c r="G55" s="15">
        <v>117</v>
      </c>
    </row>
    <row r="56" spans="1:7" ht="12.75">
      <c r="A56" s="22">
        <f t="shared" si="1"/>
        <v>42028</v>
      </c>
      <c r="B56" s="15">
        <v>9973096.15</v>
      </c>
      <c r="C56" s="15">
        <v>111956.15</v>
      </c>
      <c r="D56" s="15">
        <f t="shared" si="0"/>
        <v>9081177</v>
      </c>
      <c r="E56" s="15">
        <v>779963</v>
      </c>
      <c r="F56" s="16">
        <v>767</v>
      </c>
      <c r="G56" s="15">
        <v>145</v>
      </c>
    </row>
    <row r="57" spans="1:7" ht="12.75">
      <c r="A57" s="22">
        <f t="shared" si="1"/>
        <v>42035</v>
      </c>
      <c r="B57" s="15">
        <v>8900983.15</v>
      </c>
      <c r="C57" s="15">
        <v>101123.15</v>
      </c>
      <c r="D57" s="15">
        <f t="shared" si="0"/>
        <v>8105976</v>
      </c>
      <c r="E57" s="15">
        <v>693884</v>
      </c>
      <c r="F57" s="16">
        <v>767</v>
      </c>
      <c r="G57" s="15">
        <v>129</v>
      </c>
    </row>
    <row r="58" spans="1:7" ht="12.75">
      <c r="A58" s="22">
        <f t="shared" si="1"/>
        <v>42042</v>
      </c>
      <c r="B58" s="15">
        <v>8270726.39</v>
      </c>
      <c r="C58" s="15">
        <v>93511.39</v>
      </c>
      <c r="D58" s="15">
        <f t="shared" si="0"/>
        <v>7566783</v>
      </c>
      <c r="E58" s="15">
        <v>610432</v>
      </c>
      <c r="F58" s="16">
        <v>767</v>
      </c>
      <c r="G58" s="15">
        <v>114</v>
      </c>
    </row>
    <row r="59" spans="1:7" ht="12.75">
      <c r="A59" s="22">
        <f t="shared" si="1"/>
        <v>42049</v>
      </c>
      <c r="B59" s="15">
        <v>8249747.4</v>
      </c>
      <c r="C59" s="15">
        <f>100508.4-3668</f>
        <v>96840.4</v>
      </c>
      <c r="D59" s="15">
        <f t="shared" si="0"/>
        <v>7529149</v>
      </c>
      <c r="E59" s="15">
        <v>623758</v>
      </c>
      <c r="F59" s="16">
        <v>767</v>
      </c>
      <c r="G59" s="15">
        <v>116</v>
      </c>
    </row>
    <row r="60" spans="1:7" ht="12.75">
      <c r="A60" s="22">
        <f t="shared" si="1"/>
        <v>42056</v>
      </c>
      <c r="B60" s="15">
        <v>8107671.46</v>
      </c>
      <c r="C60" s="15">
        <v>87128.46</v>
      </c>
      <c r="D60" s="15">
        <f t="shared" si="0"/>
        <v>7396362</v>
      </c>
      <c r="E60" s="15">
        <v>624181</v>
      </c>
      <c r="F60" s="16">
        <v>767</v>
      </c>
      <c r="G60" s="15">
        <v>116</v>
      </c>
    </row>
    <row r="61" spans="1:7" ht="12.75">
      <c r="A61" s="22">
        <f t="shared" si="1"/>
        <v>42063</v>
      </c>
      <c r="B61" s="15">
        <v>10347851.64</v>
      </c>
      <c r="C61" s="15">
        <v>106229.64</v>
      </c>
      <c r="D61" s="15">
        <f t="shared" si="0"/>
        <v>9400066</v>
      </c>
      <c r="E61" s="15">
        <v>841556</v>
      </c>
      <c r="F61" s="16">
        <v>767</v>
      </c>
      <c r="G61" s="15">
        <v>157</v>
      </c>
    </row>
    <row r="62" spans="1:7" ht="12.75">
      <c r="A62" s="22">
        <f t="shared" si="1"/>
        <v>42070</v>
      </c>
      <c r="B62" s="15">
        <v>9460843</v>
      </c>
      <c r="C62" s="15">
        <v>92734.32</v>
      </c>
      <c r="D62" s="15">
        <f t="shared" si="0"/>
        <v>8660556.68</v>
      </c>
      <c r="E62" s="15">
        <v>707552</v>
      </c>
      <c r="F62" s="16">
        <v>767</v>
      </c>
      <c r="G62" s="15">
        <v>132</v>
      </c>
    </row>
    <row r="63" spans="1:7" ht="12.75">
      <c r="A63" s="22">
        <f t="shared" si="1"/>
        <v>42077</v>
      </c>
      <c r="B63" s="15">
        <v>11795683</v>
      </c>
      <c r="C63" s="15">
        <v>122505.7</v>
      </c>
      <c r="D63" s="15">
        <f t="shared" si="0"/>
        <v>10760376.3</v>
      </c>
      <c r="E63" s="15">
        <v>912801</v>
      </c>
      <c r="F63" s="16">
        <v>767</v>
      </c>
      <c r="G63" s="15">
        <v>170</v>
      </c>
    </row>
    <row r="64" spans="1:7" ht="12.75">
      <c r="A64" s="22">
        <f t="shared" si="1"/>
        <v>42084</v>
      </c>
      <c r="B64" s="15">
        <v>9934741</v>
      </c>
      <c r="C64" s="15">
        <v>105011.3</v>
      </c>
      <c r="D64" s="15">
        <f t="shared" si="0"/>
        <v>9055067.7</v>
      </c>
      <c r="E64" s="15">
        <v>774662</v>
      </c>
      <c r="F64" s="16">
        <v>767</v>
      </c>
      <c r="G64" s="15">
        <v>144</v>
      </c>
    </row>
    <row r="65" ht="12.75">
      <c r="A65" s="22"/>
    </row>
    <row r="66" spans="1:7" ht="13.5" thickBot="1">
      <c r="A66" s="3" t="s">
        <v>8</v>
      </c>
      <c r="B66" s="17">
        <f>SUM(B13:B64)</f>
        <v>513628132.24999994</v>
      </c>
      <c r="C66" s="17">
        <f>SUM(C13:C64)</f>
        <v>4932099.570000001</v>
      </c>
      <c r="D66" s="17">
        <f>SUM(D13:D64)</f>
        <v>467938691.68</v>
      </c>
      <c r="E66" s="17">
        <f>SUM(E13:E64)</f>
        <v>40757341</v>
      </c>
      <c r="F66" s="23">
        <f>SUM(F13:F64)/COUNT(F13:F64)</f>
        <v>767</v>
      </c>
      <c r="G66" s="17">
        <f>+E66/SUM(F13:F64)/7</f>
        <v>145.98528948235597</v>
      </c>
    </row>
    <row r="67" spans="1:5" s="21" customFormat="1" ht="13.5" thickTop="1">
      <c r="A67" s="19"/>
      <c r="B67" s="20"/>
      <c r="C67" s="20"/>
      <c r="D67" s="20"/>
      <c r="E67" s="20"/>
    </row>
  </sheetData>
  <sheetProtection/>
  <mergeCells count="6">
    <mergeCell ref="A8:G8"/>
    <mergeCell ref="A1:G1"/>
    <mergeCell ref="A2:G2"/>
    <mergeCell ref="A3:G3"/>
    <mergeCell ref="A4:G4"/>
    <mergeCell ref="A5:G5"/>
  </mergeCells>
  <hyperlinks>
    <hyperlink ref="A4" r:id="rId1" display="www.vernondowns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B28" sqref="B28"/>
    </sheetView>
  </sheetViews>
  <sheetFormatPr defaultColWidth="9.140625" defaultRowHeight="12.75"/>
  <cols>
    <col min="1" max="1" width="15.7109375" style="3" customWidth="1"/>
    <col min="2" max="5" width="15.7109375" style="15" customWidth="1"/>
    <col min="6" max="6" width="15.7109375" style="16" customWidth="1"/>
    <col min="7" max="7" width="15.7109375" style="15" customWidth="1"/>
  </cols>
  <sheetData>
    <row r="1" spans="1:11" ht="18">
      <c r="A1" s="71" t="s">
        <v>19</v>
      </c>
      <c r="B1" s="71"/>
      <c r="C1" s="71"/>
      <c r="D1" s="71"/>
      <c r="E1" s="71"/>
      <c r="F1" s="71"/>
      <c r="G1" s="71"/>
      <c r="H1" s="25"/>
      <c r="I1" s="25"/>
      <c r="J1" s="25"/>
      <c r="K1" s="25"/>
    </row>
    <row r="2" spans="1:11" ht="15">
      <c r="A2" s="72" t="s">
        <v>15</v>
      </c>
      <c r="B2" s="72"/>
      <c r="C2" s="72"/>
      <c r="D2" s="72"/>
      <c r="E2" s="72"/>
      <c r="F2" s="72"/>
      <c r="G2" s="72"/>
      <c r="H2" s="26"/>
      <c r="I2" s="26"/>
      <c r="J2" s="26"/>
      <c r="K2" s="26"/>
    </row>
    <row r="3" spans="1:11" s="1" customFormat="1" ht="15">
      <c r="A3" s="72" t="s">
        <v>16</v>
      </c>
      <c r="B3" s="72"/>
      <c r="C3" s="72"/>
      <c r="D3" s="72"/>
      <c r="E3" s="72"/>
      <c r="F3" s="72"/>
      <c r="G3" s="72"/>
      <c r="H3" s="26"/>
      <c r="I3" s="26"/>
      <c r="J3" s="26"/>
      <c r="K3" s="26"/>
    </row>
    <row r="4" spans="1:11" s="1" customFormat="1" ht="14.25" customHeight="1">
      <c r="A4" s="63" t="s">
        <v>17</v>
      </c>
      <c r="B4" s="63"/>
      <c r="C4" s="63"/>
      <c r="D4" s="63"/>
      <c r="E4" s="63"/>
      <c r="F4" s="63"/>
      <c r="G4" s="63"/>
      <c r="H4" s="27"/>
      <c r="I4" s="27"/>
      <c r="J4" s="27"/>
      <c r="K4" s="27"/>
    </row>
    <row r="5" spans="1:11" s="1" customFormat="1" ht="14.25">
      <c r="A5" s="73" t="s">
        <v>18</v>
      </c>
      <c r="B5" s="73"/>
      <c r="C5" s="73"/>
      <c r="D5" s="73"/>
      <c r="E5" s="73"/>
      <c r="F5" s="73"/>
      <c r="G5" s="73"/>
      <c r="H5" s="28"/>
      <c r="I5" s="28"/>
      <c r="J5" s="28"/>
      <c r="K5" s="28"/>
    </row>
    <row r="6" spans="1:11" s="1" customFormat="1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7" s="1" customFormat="1" ht="12.75">
      <c r="A7" s="3"/>
      <c r="B7" s="4"/>
      <c r="C7" s="4"/>
      <c r="D7" s="4"/>
      <c r="E7" s="5"/>
      <c r="F7" s="6"/>
      <c r="G7" s="5"/>
    </row>
    <row r="8" spans="1:7" s="7" customFormat="1" ht="14.25" customHeight="1">
      <c r="A8" s="68" t="s">
        <v>25</v>
      </c>
      <c r="B8" s="69"/>
      <c r="C8" s="69"/>
      <c r="D8" s="69"/>
      <c r="E8" s="69"/>
      <c r="F8" s="69"/>
      <c r="G8" s="70"/>
    </row>
    <row r="9" spans="1:7" s="1" customFormat="1" ht="9" customHeight="1">
      <c r="A9" s="3"/>
      <c r="B9" s="4"/>
      <c r="C9" s="4"/>
      <c r="D9" s="4"/>
      <c r="E9" s="5"/>
      <c r="F9" s="6"/>
      <c r="G9" s="5"/>
    </row>
    <row r="10" spans="1:7" s="12" customFormat="1" ht="12">
      <c r="A10" s="9"/>
      <c r="B10" s="10" t="s">
        <v>0</v>
      </c>
      <c r="C10" s="10" t="s">
        <v>22</v>
      </c>
      <c r="D10" s="10" t="s">
        <v>0</v>
      </c>
      <c r="E10" s="10"/>
      <c r="F10" s="11" t="s">
        <v>1</v>
      </c>
      <c r="G10" s="10" t="s">
        <v>2</v>
      </c>
    </row>
    <row r="11" spans="1:7" s="12" customFormat="1" ht="12">
      <c r="A11" s="13" t="s">
        <v>11</v>
      </c>
      <c r="B11" s="8" t="s">
        <v>3</v>
      </c>
      <c r="C11" s="8" t="s">
        <v>24</v>
      </c>
      <c r="D11" s="8" t="s">
        <v>4</v>
      </c>
      <c r="E11" s="8" t="s">
        <v>5</v>
      </c>
      <c r="F11" s="14" t="s">
        <v>6</v>
      </c>
      <c r="G11" s="8" t="s">
        <v>7</v>
      </c>
    </row>
    <row r="13" spans="1:7" ht="12.75">
      <c r="A13" s="22">
        <v>41363</v>
      </c>
      <c r="B13" s="15">
        <v>10862751.48</v>
      </c>
      <c r="C13" s="15">
        <v>89592.48</v>
      </c>
      <c r="D13" s="15">
        <f aca="true" t="shared" si="0" ref="D13:D64">+B13-C13-E13</f>
        <v>9862695</v>
      </c>
      <c r="E13" s="15">
        <v>910464</v>
      </c>
      <c r="F13" s="16">
        <v>767</v>
      </c>
      <c r="G13" s="15">
        <v>170</v>
      </c>
    </row>
    <row r="14" spans="1:7" ht="12.75">
      <c r="A14" s="22">
        <f aca="true" t="shared" si="1" ref="A14:A64">+A13+7</f>
        <v>41370</v>
      </c>
      <c r="B14" s="15">
        <v>10767665.41</v>
      </c>
      <c r="C14" s="15">
        <v>84264.41</v>
      </c>
      <c r="D14" s="15">
        <f t="shared" si="0"/>
        <v>9803414</v>
      </c>
      <c r="E14" s="15">
        <v>879987</v>
      </c>
      <c r="F14" s="16">
        <v>767</v>
      </c>
      <c r="G14" s="15">
        <v>164</v>
      </c>
    </row>
    <row r="15" spans="1:7" ht="12.75">
      <c r="A15" s="22">
        <f t="shared" si="1"/>
        <v>41377</v>
      </c>
      <c r="B15" s="15">
        <v>11032190.49</v>
      </c>
      <c r="C15" s="15">
        <v>63327.49</v>
      </c>
      <c r="D15" s="15">
        <f t="shared" si="0"/>
        <v>10031451</v>
      </c>
      <c r="E15" s="15">
        <v>937412</v>
      </c>
      <c r="F15" s="16">
        <v>767</v>
      </c>
      <c r="G15" s="15">
        <v>175</v>
      </c>
    </row>
    <row r="16" spans="1:7" ht="12.75">
      <c r="A16" s="22">
        <f t="shared" si="1"/>
        <v>41384</v>
      </c>
      <c r="B16" s="15">
        <v>10763422.15</v>
      </c>
      <c r="C16" s="15">
        <v>-28104.85</v>
      </c>
      <c r="D16" s="15">
        <f t="shared" si="0"/>
        <v>9782687</v>
      </c>
      <c r="E16" s="15">
        <v>1008840</v>
      </c>
      <c r="F16" s="16">
        <v>767</v>
      </c>
      <c r="G16" s="15">
        <v>188</v>
      </c>
    </row>
    <row r="17" spans="1:7" ht="12.75">
      <c r="A17" s="22">
        <f t="shared" si="1"/>
        <v>41391</v>
      </c>
      <c r="B17" s="15">
        <v>10954669.75</v>
      </c>
      <c r="C17" s="15">
        <v>68383.75</v>
      </c>
      <c r="D17" s="15">
        <f t="shared" si="0"/>
        <v>9981410</v>
      </c>
      <c r="E17" s="15">
        <v>904876</v>
      </c>
      <c r="F17" s="16">
        <v>767</v>
      </c>
      <c r="G17" s="15">
        <v>169</v>
      </c>
    </row>
    <row r="18" spans="1:7" ht="12.75">
      <c r="A18" s="22">
        <f t="shared" si="1"/>
        <v>41398</v>
      </c>
      <c r="B18" s="15">
        <v>11596590.2</v>
      </c>
      <c r="C18" s="15">
        <v>92380.2</v>
      </c>
      <c r="D18" s="15">
        <f t="shared" si="0"/>
        <v>10471407</v>
      </c>
      <c r="E18" s="15">
        <v>1032803</v>
      </c>
      <c r="F18" s="16">
        <v>754.1428571428571</v>
      </c>
      <c r="G18" s="15">
        <v>196</v>
      </c>
    </row>
    <row r="19" spans="1:7" ht="12.75">
      <c r="A19" s="22">
        <f t="shared" si="1"/>
        <v>41405</v>
      </c>
      <c r="B19" s="15">
        <v>10541835.46</v>
      </c>
      <c r="C19" s="15">
        <v>81846.46</v>
      </c>
      <c r="D19" s="15">
        <f t="shared" si="0"/>
        <v>9644612</v>
      </c>
      <c r="E19" s="15">
        <v>815377</v>
      </c>
      <c r="F19" s="16">
        <v>767</v>
      </c>
      <c r="G19" s="15">
        <v>152</v>
      </c>
    </row>
    <row r="20" spans="1:7" ht="12.75">
      <c r="A20" s="22">
        <f t="shared" si="1"/>
        <v>41412</v>
      </c>
      <c r="B20" s="15">
        <v>10763077.1</v>
      </c>
      <c r="C20" s="15">
        <v>96665.1</v>
      </c>
      <c r="D20" s="15">
        <f t="shared" si="0"/>
        <v>9802172</v>
      </c>
      <c r="E20" s="15">
        <v>864240</v>
      </c>
      <c r="F20" s="16">
        <v>767</v>
      </c>
      <c r="G20" s="15">
        <v>161</v>
      </c>
    </row>
    <row r="21" spans="1:7" ht="12.75">
      <c r="A21" s="22">
        <f t="shared" si="1"/>
        <v>41419</v>
      </c>
      <c r="B21" s="15">
        <v>10400648.91</v>
      </c>
      <c r="C21" s="15">
        <v>84173.91</v>
      </c>
      <c r="D21" s="15">
        <f t="shared" si="0"/>
        <v>9435802</v>
      </c>
      <c r="E21" s="15">
        <v>880673</v>
      </c>
      <c r="F21" s="16">
        <v>767</v>
      </c>
      <c r="G21" s="15">
        <v>164</v>
      </c>
    </row>
    <row r="22" spans="1:7" ht="12.75">
      <c r="A22" s="22">
        <f t="shared" si="1"/>
        <v>41426</v>
      </c>
      <c r="B22" s="15">
        <v>11810656.4</v>
      </c>
      <c r="C22" s="15">
        <v>103963.4</v>
      </c>
      <c r="D22" s="15">
        <f t="shared" si="0"/>
        <v>10769668</v>
      </c>
      <c r="E22" s="15">
        <v>937025</v>
      </c>
      <c r="F22" s="16">
        <v>767</v>
      </c>
      <c r="G22" s="15">
        <v>175</v>
      </c>
    </row>
    <row r="23" spans="1:7" ht="12.75">
      <c r="A23" s="22">
        <f t="shared" si="1"/>
        <v>41433</v>
      </c>
      <c r="B23" s="15">
        <v>11101755.43</v>
      </c>
      <c r="C23" s="15">
        <v>98278.43</v>
      </c>
      <c r="D23" s="15">
        <f t="shared" si="0"/>
        <v>10224177</v>
      </c>
      <c r="E23" s="15">
        <v>779300</v>
      </c>
      <c r="F23" s="16">
        <v>767</v>
      </c>
      <c r="G23" s="15">
        <v>145</v>
      </c>
    </row>
    <row r="24" spans="1:7" ht="12.75">
      <c r="A24" s="22">
        <f t="shared" si="1"/>
        <v>41440</v>
      </c>
      <c r="B24" s="15">
        <v>10888830.82</v>
      </c>
      <c r="C24" s="15">
        <v>77968.82</v>
      </c>
      <c r="D24" s="15">
        <f t="shared" si="0"/>
        <v>9914065</v>
      </c>
      <c r="E24" s="15">
        <v>896797</v>
      </c>
      <c r="F24" s="16">
        <v>766.5714285714286</v>
      </c>
      <c r="G24" s="15">
        <v>167</v>
      </c>
    </row>
    <row r="25" spans="1:7" ht="12.75">
      <c r="A25" s="22">
        <f t="shared" si="1"/>
        <v>41447</v>
      </c>
      <c r="B25" s="15">
        <v>10810933.2</v>
      </c>
      <c r="C25" s="15">
        <v>106267.2</v>
      </c>
      <c r="D25" s="15">
        <f t="shared" si="0"/>
        <v>9852287</v>
      </c>
      <c r="E25" s="15">
        <v>852379</v>
      </c>
      <c r="F25" s="16">
        <v>767</v>
      </c>
      <c r="G25" s="15">
        <v>159</v>
      </c>
    </row>
    <row r="26" spans="1:7" ht="12.75">
      <c r="A26" s="22">
        <f t="shared" si="1"/>
        <v>41454</v>
      </c>
      <c r="B26" s="15">
        <v>11377604.78</v>
      </c>
      <c r="C26" s="15">
        <v>85819.78</v>
      </c>
      <c r="D26" s="15">
        <f t="shared" si="0"/>
        <v>10369601</v>
      </c>
      <c r="E26" s="15">
        <v>922184</v>
      </c>
      <c r="F26" s="16">
        <v>767</v>
      </c>
      <c r="G26" s="15">
        <v>172</v>
      </c>
    </row>
    <row r="27" spans="1:7" ht="12.75">
      <c r="A27" s="22">
        <f t="shared" si="1"/>
        <v>41461</v>
      </c>
      <c r="B27" s="15">
        <v>12804052.6</v>
      </c>
      <c r="C27" s="15">
        <v>111553.6</v>
      </c>
      <c r="D27" s="15">
        <f t="shared" si="0"/>
        <v>11637806</v>
      </c>
      <c r="E27" s="15">
        <v>1054693</v>
      </c>
      <c r="F27" s="16">
        <v>767</v>
      </c>
      <c r="G27" s="15">
        <v>196</v>
      </c>
    </row>
    <row r="28" spans="1:7" ht="12.75">
      <c r="A28" s="22">
        <f t="shared" si="1"/>
        <v>41468</v>
      </c>
      <c r="B28" s="15">
        <v>11191521.77</v>
      </c>
      <c r="C28" s="15">
        <v>86175.77</v>
      </c>
      <c r="D28" s="15">
        <f t="shared" si="0"/>
        <v>10184790</v>
      </c>
      <c r="E28" s="15">
        <v>920556</v>
      </c>
      <c r="F28" s="16">
        <v>767</v>
      </c>
      <c r="G28" s="15">
        <v>171</v>
      </c>
    </row>
    <row r="29" spans="1:7" ht="12.75">
      <c r="A29" s="22">
        <f t="shared" si="1"/>
        <v>41475</v>
      </c>
      <c r="B29" s="15">
        <v>11240538.17</v>
      </c>
      <c r="C29" s="15">
        <v>104546.17</v>
      </c>
      <c r="D29" s="15">
        <f t="shared" si="0"/>
        <v>10248685</v>
      </c>
      <c r="E29" s="15">
        <v>887307</v>
      </c>
      <c r="F29" s="16">
        <v>767</v>
      </c>
      <c r="G29" s="15">
        <v>165</v>
      </c>
    </row>
    <row r="30" spans="1:7" ht="12.75">
      <c r="A30" s="22">
        <f t="shared" si="1"/>
        <v>41482</v>
      </c>
      <c r="B30" s="15">
        <v>11943456.37</v>
      </c>
      <c r="C30" s="15">
        <v>87616.37</v>
      </c>
      <c r="D30" s="15">
        <f t="shared" si="0"/>
        <v>10923712</v>
      </c>
      <c r="E30" s="15">
        <v>932128</v>
      </c>
      <c r="F30" s="16">
        <v>767</v>
      </c>
      <c r="G30" s="15">
        <v>174</v>
      </c>
    </row>
    <row r="31" spans="1:7" ht="12.75">
      <c r="A31" s="22">
        <f t="shared" si="1"/>
        <v>41489</v>
      </c>
      <c r="B31" s="15">
        <v>11809326.13</v>
      </c>
      <c r="C31" s="15">
        <v>111086.13</v>
      </c>
      <c r="D31" s="15">
        <f t="shared" si="0"/>
        <v>10759382</v>
      </c>
      <c r="E31" s="15">
        <v>938858</v>
      </c>
      <c r="F31" s="16">
        <v>767</v>
      </c>
      <c r="G31" s="15">
        <v>175</v>
      </c>
    </row>
    <row r="32" spans="1:7" ht="12.75">
      <c r="A32" s="22">
        <f t="shared" si="1"/>
        <v>41496</v>
      </c>
      <c r="B32" s="15">
        <v>11178215.66</v>
      </c>
      <c r="C32" s="15">
        <v>90191.66</v>
      </c>
      <c r="D32" s="15">
        <f t="shared" si="0"/>
        <v>10180759</v>
      </c>
      <c r="E32" s="15">
        <v>907265</v>
      </c>
      <c r="F32" s="16">
        <v>767</v>
      </c>
      <c r="G32" s="15">
        <v>169</v>
      </c>
    </row>
    <row r="33" spans="1:7" ht="12.75">
      <c r="A33" s="22">
        <f t="shared" si="1"/>
        <v>41503</v>
      </c>
      <c r="B33" s="15">
        <v>12167357.55</v>
      </c>
      <c r="C33" s="15">
        <v>111903.55</v>
      </c>
      <c r="D33" s="15">
        <f t="shared" si="0"/>
        <v>11049316</v>
      </c>
      <c r="E33" s="15">
        <v>1006138</v>
      </c>
      <c r="F33" s="16">
        <v>767</v>
      </c>
      <c r="G33" s="15">
        <v>187</v>
      </c>
    </row>
    <row r="34" spans="1:7" ht="12.75">
      <c r="A34" s="22">
        <f t="shared" si="1"/>
        <v>41510</v>
      </c>
      <c r="B34" s="15">
        <v>11188229.74</v>
      </c>
      <c r="C34" s="15">
        <v>100618.74</v>
      </c>
      <c r="D34" s="15">
        <f t="shared" si="0"/>
        <v>10195512</v>
      </c>
      <c r="E34" s="15">
        <v>892099</v>
      </c>
      <c r="F34" s="16">
        <v>767</v>
      </c>
      <c r="G34" s="15">
        <v>166</v>
      </c>
    </row>
    <row r="35" spans="1:7" ht="12.75">
      <c r="A35" s="22">
        <f t="shared" si="1"/>
        <v>41517</v>
      </c>
      <c r="B35" s="15">
        <v>11447977.91</v>
      </c>
      <c r="C35" s="15">
        <v>112896.91</v>
      </c>
      <c r="D35" s="15">
        <f t="shared" si="0"/>
        <v>10398270</v>
      </c>
      <c r="E35" s="15">
        <v>936811</v>
      </c>
      <c r="F35" s="16">
        <v>767</v>
      </c>
      <c r="G35" s="15">
        <v>174</v>
      </c>
    </row>
    <row r="36" spans="1:7" ht="12.75">
      <c r="A36" s="22">
        <f t="shared" si="1"/>
        <v>41524</v>
      </c>
      <c r="B36" s="15">
        <v>12924422.15</v>
      </c>
      <c r="C36" s="15">
        <v>125675.15</v>
      </c>
      <c r="D36" s="15">
        <f t="shared" si="0"/>
        <v>11797343</v>
      </c>
      <c r="E36" s="15">
        <v>1001404</v>
      </c>
      <c r="F36" s="16">
        <v>767</v>
      </c>
      <c r="G36" s="15">
        <v>187</v>
      </c>
    </row>
    <row r="37" spans="1:7" ht="12.75">
      <c r="A37" s="22">
        <f t="shared" si="1"/>
        <v>41531</v>
      </c>
      <c r="B37" s="15">
        <v>10807363.2</v>
      </c>
      <c r="C37" s="15">
        <v>82197.2</v>
      </c>
      <c r="D37" s="15">
        <f t="shared" si="0"/>
        <v>9859816</v>
      </c>
      <c r="E37" s="15">
        <v>865350</v>
      </c>
      <c r="F37" s="16">
        <v>767</v>
      </c>
      <c r="G37" s="15">
        <v>161</v>
      </c>
    </row>
    <row r="38" spans="1:7" ht="12.75">
      <c r="A38" s="22">
        <f t="shared" si="1"/>
        <v>41538</v>
      </c>
      <c r="B38" s="15">
        <v>10384705.25</v>
      </c>
      <c r="C38" s="15">
        <v>109466.25</v>
      </c>
      <c r="D38" s="15">
        <f t="shared" si="0"/>
        <v>9462293</v>
      </c>
      <c r="E38" s="15">
        <v>812946</v>
      </c>
      <c r="F38" s="16">
        <v>767</v>
      </c>
      <c r="G38" s="15">
        <v>151</v>
      </c>
    </row>
    <row r="39" spans="1:7" ht="12.75">
      <c r="A39" s="22">
        <f t="shared" si="1"/>
        <v>41545</v>
      </c>
      <c r="B39" s="15">
        <v>10338377.25</v>
      </c>
      <c r="C39" s="15">
        <f>75328.25-3600</f>
        <v>71728.25</v>
      </c>
      <c r="D39" s="15">
        <f t="shared" si="0"/>
        <v>9415988</v>
      </c>
      <c r="E39" s="15">
        <v>850661</v>
      </c>
      <c r="F39" s="16">
        <v>767</v>
      </c>
      <c r="G39" s="15">
        <v>158</v>
      </c>
    </row>
    <row r="40" spans="1:7" ht="12.75">
      <c r="A40" s="22">
        <f t="shared" si="1"/>
        <v>41552</v>
      </c>
      <c r="B40" s="15">
        <v>10786709.21</v>
      </c>
      <c r="C40" s="15">
        <v>100932.21</v>
      </c>
      <c r="D40" s="15">
        <f t="shared" si="0"/>
        <v>9790909</v>
      </c>
      <c r="E40" s="15">
        <v>894868</v>
      </c>
      <c r="F40" s="16">
        <v>767</v>
      </c>
      <c r="G40" s="15">
        <v>167</v>
      </c>
    </row>
    <row r="41" spans="1:7" ht="12.75">
      <c r="A41" s="22">
        <f t="shared" si="1"/>
        <v>41559</v>
      </c>
      <c r="B41" s="15">
        <v>10765665.55</v>
      </c>
      <c r="C41" s="15">
        <v>85552.55</v>
      </c>
      <c r="D41" s="15">
        <f t="shared" si="0"/>
        <v>9804636</v>
      </c>
      <c r="E41" s="15">
        <v>875477</v>
      </c>
      <c r="F41" s="16">
        <v>767</v>
      </c>
      <c r="G41" s="15">
        <v>163</v>
      </c>
    </row>
    <row r="42" spans="1:7" ht="12.75">
      <c r="A42" s="22">
        <f t="shared" si="1"/>
        <v>41566</v>
      </c>
      <c r="B42" s="15">
        <v>10807861.04</v>
      </c>
      <c r="C42" s="15">
        <v>106952.04</v>
      </c>
      <c r="D42" s="15">
        <f t="shared" si="0"/>
        <v>9855071</v>
      </c>
      <c r="E42" s="15">
        <v>845838</v>
      </c>
      <c r="F42" s="16">
        <v>767</v>
      </c>
      <c r="G42" s="15">
        <v>158</v>
      </c>
    </row>
    <row r="43" spans="1:7" ht="12.75">
      <c r="A43" s="22">
        <f t="shared" si="1"/>
        <v>41573</v>
      </c>
      <c r="B43" s="15">
        <v>10095721.44</v>
      </c>
      <c r="C43" s="15">
        <v>85778.44</v>
      </c>
      <c r="D43" s="15">
        <f t="shared" si="0"/>
        <v>9193891</v>
      </c>
      <c r="E43" s="15">
        <v>816052</v>
      </c>
      <c r="F43" s="16">
        <v>767</v>
      </c>
      <c r="G43" s="15">
        <v>152</v>
      </c>
    </row>
    <row r="44" spans="1:7" ht="12.75">
      <c r="A44" s="22">
        <f t="shared" si="1"/>
        <v>41580</v>
      </c>
      <c r="B44" s="15">
        <v>10363891.21</v>
      </c>
      <c r="C44" s="15">
        <v>96400.21</v>
      </c>
      <c r="D44" s="15">
        <f t="shared" si="0"/>
        <v>9438408</v>
      </c>
      <c r="E44" s="15">
        <v>829083</v>
      </c>
      <c r="F44" s="16">
        <f>5369/7</f>
        <v>767</v>
      </c>
      <c r="G44" s="15">
        <v>154</v>
      </c>
    </row>
    <row r="45" spans="1:7" ht="12.75">
      <c r="A45" s="22">
        <f t="shared" si="1"/>
        <v>41587</v>
      </c>
      <c r="B45" s="15">
        <v>9368519.2</v>
      </c>
      <c r="C45" s="15">
        <v>82634.2</v>
      </c>
      <c r="D45" s="15">
        <f t="shared" si="0"/>
        <v>8530953</v>
      </c>
      <c r="E45" s="15">
        <v>754932</v>
      </c>
      <c r="F45" s="16">
        <f>5369/7</f>
        <v>767</v>
      </c>
      <c r="G45" s="15">
        <v>141</v>
      </c>
    </row>
    <row r="46" spans="1:7" ht="12.75">
      <c r="A46" s="22">
        <f t="shared" si="1"/>
        <v>41594</v>
      </c>
      <c r="B46" s="15">
        <v>9956359.35</v>
      </c>
      <c r="C46" s="15">
        <v>94034.35</v>
      </c>
      <c r="D46" s="15">
        <f t="shared" si="0"/>
        <v>9051389</v>
      </c>
      <c r="E46" s="15">
        <v>810936</v>
      </c>
      <c r="F46" s="16">
        <v>767</v>
      </c>
      <c r="G46" s="15">
        <v>151</v>
      </c>
    </row>
    <row r="47" spans="1:7" ht="12.75">
      <c r="A47" s="22">
        <f t="shared" si="1"/>
        <v>41601</v>
      </c>
      <c r="B47" s="15">
        <v>8202242.08</v>
      </c>
      <c r="C47" s="15">
        <v>64062.08</v>
      </c>
      <c r="D47" s="15">
        <f t="shared" si="0"/>
        <v>7498971</v>
      </c>
      <c r="E47" s="15">
        <v>639209</v>
      </c>
      <c r="F47" s="16">
        <v>767</v>
      </c>
      <c r="G47" s="15">
        <v>119</v>
      </c>
    </row>
    <row r="48" spans="1:7" ht="12.75">
      <c r="A48" s="22">
        <f t="shared" si="1"/>
        <v>41608</v>
      </c>
      <c r="B48" s="15">
        <v>8675742.4</v>
      </c>
      <c r="C48" s="15">
        <v>70864.4</v>
      </c>
      <c r="D48" s="15">
        <f t="shared" si="0"/>
        <v>7958739</v>
      </c>
      <c r="E48" s="15">
        <v>646139</v>
      </c>
      <c r="F48" s="16">
        <v>767</v>
      </c>
      <c r="G48" s="15">
        <v>120</v>
      </c>
    </row>
    <row r="49" spans="1:7" ht="12.75">
      <c r="A49" s="22">
        <f t="shared" si="1"/>
        <v>41615</v>
      </c>
      <c r="B49" s="15">
        <v>8218328.74</v>
      </c>
      <c r="C49" s="15">
        <f>79955.74-3690</f>
        <v>76265.74</v>
      </c>
      <c r="D49" s="15">
        <f t="shared" si="0"/>
        <v>7465011</v>
      </c>
      <c r="E49" s="15">
        <v>677052</v>
      </c>
      <c r="F49" s="16">
        <v>767</v>
      </c>
      <c r="G49" s="15">
        <v>126</v>
      </c>
    </row>
    <row r="50" spans="1:7" ht="12.75">
      <c r="A50" s="22">
        <f t="shared" si="1"/>
        <v>41622</v>
      </c>
      <c r="B50" s="15">
        <v>6299309.6</v>
      </c>
      <c r="C50" s="15">
        <v>46981.6</v>
      </c>
      <c r="D50" s="15">
        <f t="shared" si="0"/>
        <v>5751837</v>
      </c>
      <c r="E50" s="15">
        <v>500491</v>
      </c>
      <c r="F50" s="16">
        <v>767</v>
      </c>
      <c r="G50" s="15">
        <v>93</v>
      </c>
    </row>
    <row r="51" spans="1:7" ht="12.75">
      <c r="A51" s="22">
        <f t="shared" si="1"/>
        <v>41629</v>
      </c>
      <c r="B51" s="15">
        <v>6984199.86</v>
      </c>
      <c r="C51" s="15">
        <v>73053.86</v>
      </c>
      <c r="D51" s="15">
        <f t="shared" si="0"/>
        <v>6357079</v>
      </c>
      <c r="E51" s="15">
        <v>554067</v>
      </c>
      <c r="F51" s="16">
        <v>767</v>
      </c>
      <c r="G51" s="15">
        <v>103</v>
      </c>
    </row>
    <row r="52" spans="1:7" ht="12.75">
      <c r="A52" s="22">
        <f t="shared" si="1"/>
        <v>41636</v>
      </c>
      <c r="B52" s="15">
        <v>8049804.58</v>
      </c>
      <c r="C52" s="15">
        <v>59904.58</v>
      </c>
      <c r="D52" s="15">
        <f t="shared" si="0"/>
        <v>7293644</v>
      </c>
      <c r="E52" s="15">
        <v>696256</v>
      </c>
      <c r="F52" s="16">
        <v>767</v>
      </c>
      <c r="G52" s="15">
        <v>130</v>
      </c>
    </row>
    <row r="53" spans="1:7" ht="12.75">
      <c r="A53" s="22">
        <f t="shared" si="1"/>
        <v>41643</v>
      </c>
      <c r="B53" s="15">
        <v>9662401.91</v>
      </c>
      <c r="C53" s="15">
        <v>90168.91</v>
      </c>
      <c r="D53" s="15">
        <f t="shared" si="0"/>
        <v>8787620</v>
      </c>
      <c r="E53" s="15">
        <v>784613</v>
      </c>
      <c r="F53" s="16">
        <v>767</v>
      </c>
      <c r="G53" s="15">
        <v>146</v>
      </c>
    </row>
    <row r="54" spans="1:7" ht="12.75">
      <c r="A54" s="22">
        <f t="shared" si="1"/>
        <v>41650</v>
      </c>
      <c r="B54" s="15">
        <v>7677458.4</v>
      </c>
      <c r="C54" s="15">
        <v>62209.4</v>
      </c>
      <c r="D54" s="15">
        <f t="shared" si="0"/>
        <v>6956969</v>
      </c>
      <c r="E54" s="15">
        <v>658280</v>
      </c>
      <c r="F54" s="16">
        <v>767</v>
      </c>
      <c r="G54" s="15">
        <v>123</v>
      </c>
    </row>
    <row r="55" spans="1:7" ht="12.75">
      <c r="A55" s="22">
        <f t="shared" si="1"/>
        <v>41657</v>
      </c>
      <c r="B55" s="15">
        <v>8444690.95</v>
      </c>
      <c r="C55" s="15">
        <v>73598.95</v>
      </c>
      <c r="D55" s="15">
        <f t="shared" si="0"/>
        <v>7660326.999999999</v>
      </c>
      <c r="E55" s="15">
        <v>710765</v>
      </c>
      <c r="F55" s="16">
        <v>767</v>
      </c>
      <c r="G55" s="15">
        <v>132</v>
      </c>
    </row>
    <row r="56" spans="1:7" ht="12.75">
      <c r="A56" s="22">
        <f t="shared" si="1"/>
        <v>41664</v>
      </c>
      <c r="B56" s="15">
        <v>7837167.45</v>
      </c>
      <c r="C56" s="15">
        <f>64558.45-3570</f>
        <v>60988.45</v>
      </c>
      <c r="D56" s="15">
        <f t="shared" si="0"/>
        <v>7114907</v>
      </c>
      <c r="E56" s="15">
        <v>661272</v>
      </c>
      <c r="F56" s="16">
        <v>767</v>
      </c>
      <c r="G56" s="15">
        <v>123</v>
      </c>
    </row>
    <row r="57" spans="1:7" ht="12.75">
      <c r="A57" s="22">
        <f t="shared" si="1"/>
        <v>41671</v>
      </c>
      <c r="B57" s="15">
        <v>7860095.15</v>
      </c>
      <c r="C57" s="15">
        <v>58434.15</v>
      </c>
      <c r="D57" s="15">
        <f t="shared" si="0"/>
        <v>7142986</v>
      </c>
      <c r="E57" s="15">
        <v>658675</v>
      </c>
      <c r="F57" s="16">
        <v>767</v>
      </c>
      <c r="G57" s="15">
        <v>123</v>
      </c>
    </row>
    <row r="58" spans="1:7" ht="12.75">
      <c r="A58" s="22">
        <f t="shared" si="1"/>
        <v>41678</v>
      </c>
      <c r="B58" s="15">
        <v>8526815.3</v>
      </c>
      <c r="C58" s="15">
        <v>79906.3</v>
      </c>
      <c r="D58" s="15">
        <f t="shared" si="0"/>
        <v>7721997</v>
      </c>
      <c r="E58" s="15">
        <v>724912</v>
      </c>
      <c r="F58" s="16">
        <v>767</v>
      </c>
      <c r="G58" s="15">
        <v>135</v>
      </c>
    </row>
    <row r="59" spans="1:7" ht="12.75">
      <c r="A59" s="22">
        <f t="shared" si="1"/>
        <v>41685</v>
      </c>
      <c r="B59" s="15">
        <v>8191152.35</v>
      </c>
      <c r="C59" s="15">
        <v>55974.35</v>
      </c>
      <c r="D59" s="15">
        <f t="shared" si="0"/>
        <v>7463235</v>
      </c>
      <c r="E59" s="15">
        <v>671943</v>
      </c>
      <c r="F59" s="16">
        <v>767</v>
      </c>
      <c r="G59" s="15">
        <v>125</v>
      </c>
    </row>
    <row r="60" spans="1:7" ht="12.75">
      <c r="A60" s="22">
        <f t="shared" si="1"/>
        <v>41692</v>
      </c>
      <c r="B60" s="15">
        <v>11478301.35</v>
      </c>
      <c r="C60" s="15">
        <v>100055.35</v>
      </c>
      <c r="D60" s="15">
        <f t="shared" si="0"/>
        <v>10452653</v>
      </c>
      <c r="E60" s="15">
        <v>925593</v>
      </c>
      <c r="F60" s="16">
        <v>767</v>
      </c>
      <c r="G60" s="15">
        <v>172</v>
      </c>
    </row>
    <row r="61" spans="1:7" ht="12.75">
      <c r="A61" s="22">
        <f t="shared" si="1"/>
        <v>41699</v>
      </c>
      <c r="B61" s="15">
        <v>10201907.25</v>
      </c>
      <c r="C61" s="15">
        <v>76045.25</v>
      </c>
      <c r="D61" s="15">
        <f t="shared" si="0"/>
        <v>9272090</v>
      </c>
      <c r="E61" s="15">
        <v>853772</v>
      </c>
      <c r="F61" s="16">
        <v>767</v>
      </c>
      <c r="G61" s="15">
        <v>159</v>
      </c>
    </row>
    <row r="62" spans="1:7" ht="12.75">
      <c r="A62" s="22">
        <f t="shared" si="1"/>
        <v>41706</v>
      </c>
      <c r="B62" s="15">
        <v>10894465.5</v>
      </c>
      <c r="C62" s="15">
        <v>94400.5</v>
      </c>
      <c r="D62" s="15">
        <f t="shared" si="0"/>
        <v>9894772</v>
      </c>
      <c r="E62" s="15">
        <v>905293</v>
      </c>
      <c r="F62" s="16">
        <v>767</v>
      </c>
      <c r="G62" s="15">
        <v>169</v>
      </c>
    </row>
    <row r="63" spans="1:7" ht="12.75">
      <c r="A63" s="22">
        <f t="shared" si="1"/>
        <v>41713</v>
      </c>
      <c r="B63" s="15">
        <v>9916653.3</v>
      </c>
      <c r="C63" s="15">
        <v>75074.3</v>
      </c>
      <c r="D63" s="15">
        <f t="shared" si="0"/>
        <v>9026434</v>
      </c>
      <c r="E63" s="15">
        <v>815145</v>
      </c>
      <c r="F63" s="16">
        <v>767</v>
      </c>
      <c r="G63" s="15">
        <v>152</v>
      </c>
    </row>
    <row r="64" spans="1:7" ht="12.75">
      <c r="A64" s="22">
        <f t="shared" si="1"/>
        <v>41720</v>
      </c>
      <c r="B64" s="15">
        <v>10505143.75</v>
      </c>
      <c r="C64" s="15">
        <v>101042.75</v>
      </c>
      <c r="D64" s="15">
        <f t="shared" si="0"/>
        <v>9578659</v>
      </c>
      <c r="E64" s="15">
        <v>825442</v>
      </c>
      <c r="F64" s="16">
        <v>767</v>
      </c>
      <c r="G64" s="15">
        <v>154</v>
      </c>
    </row>
    <row r="65" ht="12.75">
      <c r="A65" s="22"/>
    </row>
    <row r="66" spans="1:7" ht="13.5" thickBot="1">
      <c r="A66" s="3" t="s">
        <v>8</v>
      </c>
      <c r="B66" s="17">
        <f>SUM(B13:B64)</f>
        <v>532868782.25</v>
      </c>
      <c r="C66" s="17">
        <f>SUM(C13:C64)</f>
        <v>4381797.250000001</v>
      </c>
      <c r="D66" s="17">
        <f>SUM(D13:D64)</f>
        <v>485122307</v>
      </c>
      <c r="E66" s="17">
        <f>SUM(E13:E64)</f>
        <v>43364678</v>
      </c>
      <c r="F66" s="23">
        <f>SUM(F13:F64)/COUNT(F13:F64)</f>
        <v>766.7445054945056</v>
      </c>
      <c r="G66" s="17">
        <f>+E66/SUM(F13:F64)/7</f>
        <v>155.3760475823644</v>
      </c>
    </row>
    <row r="67" spans="1:5" s="21" customFormat="1" ht="13.5" thickTop="1">
      <c r="A67" s="19"/>
      <c r="B67" s="20"/>
      <c r="C67" s="20"/>
      <c r="D67" s="20"/>
      <c r="E67" s="20"/>
    </row>
  </sheetData>
  <sheetProtection/>
  <mergeCells count="6">
    <mergeCell ref="A8:G8"/>
    <mergeCell ref="A1:G1"/>
    <mergeCell ref="A2:G2"/>
    <mergeCell ref="A3:G3"/>
    <mergeCell ref="A4:G4"/>
    <mergeCell ref="A5:G5"/>
  </mergeCells>
  <hyperlinks>
    <hyperlink ref="A4" r:id="rId1" display="www.vernondowns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15.7109375" style="3" customWidth="1"/>
    <col min="2" max="5" width="15.7109375" style="15" customWidth="1"/>
    <col min="6" max="6" width="15.7109375" style="16" customWidth="1"/>
    <col min="7" max="7" width="15.7109375" style="15" customWidth="1"/>
  </cols>
  <sheetData>
    <row r="1" spans="1:11" ht="18">
      <c r="A1" s="71" t="s">
        <v>19</v>
      </c>
      <c r="B1" s="71"/>
      <c r="C1" s="71"/>
      <c r="D1" s="71"/>
      <c r="E1" s="71"/>
      <c r="F1" s="71"/>
      <c r="G1" s="71"/>
      <c r="H1" s="25"/>
      <c r="I1" s="25"/>
      <c r="J1" s="25"/>
      <c r="K1" s="25"/>
    </row>
    <row r="2" spans="1:11" ht="15">
      <c r="A2" s="72" t="s">
        <v>15</v>
      </c>
      <c r="B2" s="72"/>
      <c r="C2" s="72"/>
      <c r="D2" s="72"/>
      <c r="E2" s="72"/>
      <c r="F2" s="72"/>
      <c r="G2" s="72"/>
      <c r="H2" s="26"/>
      <c r="I2" s="26"/>
      <c r="J2" s="26"/>
      <c r="K2" s="26"/>
    </row>
    <row r="3" spans="1:11" s="1" customFormat="1" ht="15">
      <c r="A3" s="72" t="s">
        <v>16</v>
      </c>
      <c r="B3" s="72"/>
      <c r="C3" s="72"/>
      <c r="D3" s="72"/>
      <c r="E3" s="72"/>
      <c r="F3" s="72"/>
      <c r="G3" s="72"/>
      <c r="H3" s="26"/>
      <c r="I3" s="26"/>
      <c r="J3" s="26"/>
      <c r="K3" s="26"/>
    </row>
    <row r="4" spans="1:11" s="1" customFormat="1" ht="14.25" customHeight="1">
      <c r="A4" s="63" t="s">
        <v>17</v>
      </c>
      <c r="B4" s="63"/>
      <c r="C4" s="63"/>
      <c r="D4" s="63"/>
      <c r="E4" s="63"/>
      <c r="F4" s="63"/>
      <c r="G4" s="63"/>
      <c r="H4" s="27"/>
      <c r="I4" s="27"/>
      <c r="J4" s="27"/>
      <c r="K4" s="27"/>
    </row>
    <row r="5" spans="1:11" s="1" customFormat="1" ht="14.25">
      <c r="A5" s="73" t="s">
        <v>18</v>
      </c>
      <c r="B5" s="73"/>
      <c r="C5" s="73"/>
      <c r="D5" s="73"/>
      <c r="E5" s="73"/>
      <c r="F5" s="73"/>
      <c r="G5" s="73"/>
      <c r="H5" s="28"/>
      <c r="I5" s="28"/>
      <c r="J5" s="28"/>
      <c r="K5" s="28"/>
    </row>
    <row r="6" spans="1:11" s="1" customFormat="1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7" s="1" customFormat="1" ht="12.75">
      <c r="A7" s="3"/>
      <c r="B7" s="4"/>
      <c r="C7" s="4"/>
      <c r="D7" s="4"/>
      <c r="E7" s="5"/>
      <c r="F7" s="6"/>
      <c r="G7" s="5"/>
    </row>
    <row r="8" spans="1:7" s="7" customFormat="1" ht="14.25" customHeight="1">
      <c r="A8" s="68" t="s">
        <v>23</v>
      </c>
      <c r="B8" s="69"/>
      <c r="C8" s="69"/>
      <c r="D8" s="69"/>
      <c r="E8" s="69"/>
      <c r="F8" s="69"/>
      <c r="G8" s="70"/>
    </row>
    <row r="9" spans="1:7" s="1" customFormat="1" ht="9" customHeight="1">
      <c r="A9" s="3"/>
      <c r="B9" s="4"/>
      <c r="C9" s="4"/>
      <c r="D9" s="4"/>
      <c r="E9" s="5"/>
      <c r="F9" s="6"/>
      <c r="G9" s="5"/>
    </row>
    <row r="10" spans="1:7" s="12" customFormat="1" ht="12">
      <c r="A10" s="9"/>
      <c r="B10" s="10" t="s">
        <v>0</v>
      </c>
      <c r="C10" s="10" t="s">
        <v>22</v>
      </c>
      <c r="D10" s="10" t="s">
        <v>0</v>
      </c>
      <c r="E10" s="10"/>
      <c r="F10" s="11" t="s">
        <v>1</v>
      </c>
      <c r="G10" s="10" t="s">
        <v>2</v>
      </c>
    </row>
    <row r="11" spans="1:7" s="12" customFormat="1" ht="12">
      <c r="A11" s="13" t="s">
        <v>11</v>
      </c>
      <c r="B11" s="8" t="s">
        <v>3</v>
      </c>
      <c r="C11" s="8" t="s">
        <v>24</v>
      </c>
      <c r="D11" s="8" t="s">
        <v>4</v>
      </c>
      <c r="E11" s="8" t="s">
        <v>5</v>
      </c>
      <c r="F11" s="14" t="s">
        <v>6</v>
      </c>
      <c r="G11" s="8" t="s">
        <v>7</v>
      </c>
    </row>
    <row r="13" spans="1:7" ht="12.75">
      <c r="A13" s="22">
        <v>40999</v>
      </c>
      <c r="B13" s="15">
        <v>10660681.95</v>
      </c>
      <c r="C13" s="15">
        <v>49354.95</v>
      </c>
      <c r="D13" s="15">
        <f aca="true" t="shared" si="0" ref="D13:D37">+B13-C13-E13</f>
        <v>9741112</v>
      </c>
      <c r="E13" s="15">
        <v>870215</v>
      </c>
      <c r="F13" s="16">
        <v>767</v>
      </c>
      <c r="G13" s="15">
        <v>162</v>
      </c>
    </row>
    <row r="14" spans="1:7" ht="12.75">
      <c r="A14" s="22">
        <f aca="true" t="shared" si="1" ref="A14:A64">+A13+7</f>
        <v>41006</v>
      </c>
      <c r="B14" s="15">
        <v>9851057.35</v>
      </c>
      <c r="C14" s="15">
        <v>57952.35</v>
      </c>
      <c r="D14" s="15">
        <f t="shared" si="0"/>
        <v>8999507</v>
      </c>
      <c r="E14" s="15">
        <v>793598</v>
      </c>
      <c r="F14" s="16">
        <v>767</v>
      </c>
      <c r="G14" s="15">
        <v>148</v>
      </c>
    </row>
    <row r="15" spans="1:7" ht="12.75">
      <c r="A15" s="22">
        <f t="shared" si="1"/>
        <v>41013</v>
      </c>
      <c r="B15" s="15">
        <v>10908876.51</v>
      </c>
      <c r="C15" s="15">
        <v>59681.51</v>
      </c>
      <c r="D15" s="15">
        <f t="shared" si="0"/>
        <v>9986581</v>
      </c>
      <c r="E15" s="15">
        <v>862614</v>
      </c>
      <c r="F15" s="16">
        <v>767</v>
      </c>
      <c r="G15" s="15">
        <v>161</v>
      </c>
    </row>
    <row r="16" spans="1:7" ht="12.75">
      <c r="A16" s="22">
        <f t="shared" si="1"/>
        <v>41020</v>
      </c>
      <c r="B16" s="15">
        <v>10130086.38</v>
      </c>
      <c r="C16" s="15">
        <v>60793.38</v>
      </c>
      <c r="D16" s="15">
        <f t="shared" si="0"/>
        <v>9198884</v>
      </c>
      <c r="E16" s="15">
        <v>870409</v>
      </c>
      <c r="F16" s="16">
        <v>767</v>
      </c>
      <c r="G16" s="15">
        <v>162</v>
      </c>
    </row>
    <row r="17" spans="1:7" ht="12.75">
      <c r="A17" s="22">
        <f t="shared" si="1"/>
        <v>41027</v>
      </c>
      <c r="B17" s="15">
        <v>11555192.29</v>
      </c>
      <c r="C17" s="15">
        <v>69375.29</v>
      </c>
      <c r="D17" s="15">
        <f t="shared" si="0"/>
        <v>10508872</v>
      </c>
      <c r="E17" s="15">
        <v>976945</v>
      </c>
      <c r="F17" s="16">
        <v>767</v>
      </c>
      <c r="G17" s="15">
        <v>182</v>
      </c>
    </row>
    <row r="18" spans="1:7" ht="12.75">
      <c r="A18" s="22">
        <f t="shared" si="1"/>
        <v>41034</v>
      </c>
      <c r="B18" s="15">
        <v>11678138.83</v>
      </c>
      <c r="C18" s="15">
        <v>79517.83</v>
      </c>
      <c r="D18" s="15">
        <f t="shared" si="0"/>
        <v>10669603</v>
      </c>
      <c r="E18" s="15">
        <v>929018</v>
      </c>
      <c r="F18" s="16">
        <v>767</v>
      </c>
      <c r="G18" s="15">
        <v>173</v>
      </c>
    </row>
    <row r="19" spans="1:7" ht="12.75">
      <c r="A19" s="22">
        <f t="shared" si="1"/>
        <v>41041</v>
      </c>
      <c r="B19" s="15">
        <v>10116087.49</v>
      </c>
      <c r="C19" s="15">
        <v>63843.49</v>
      </c>
      <c r="D19" s="15">
        <f t="shared" si="0"/>
        <v>9221645</v>
      </c>
      <c r="E19" s="15">
        <v>830599</v>
      </c>
      <c r="F19" s="16">
        <v>767</v>
      </c>
      <c r="G19" s="15">
        <v>155</v>
      </c>
    </row>
    <row r="20" spans="1:7" ht="12.75">
      <c r="A20" s="22">
        <f t="shared" si="1"/>
        <v>41048</v>
      </c>
      <c r="B20" s="15">
        <v>10023621.43</v>
      </c>
      <c r="C20" s="15">
        <v>65058.43</v>
      </c>
      <c r="D20" s="15">
        <f t="shared" si="0"/>
        <v>9129612</v>
      </c>
      <c r="E20" s="15">
        <v>828951</v>
      </c>
      <c r="F20" s="16">
        <v>767</v>
      </c>
      <c r="G20" s="15">
        <v>154</v>
      </c>
    </row>
    <row r="21" spans="1:7" ht="12.75">
      <c r="A21" s="22">
        <f t="shared" si="1"/>
        <v>41055</v>
      </c>
      <c r="B21" s="15">
        <v>10117036.01</v>
      </c>
      <c r="C21" s="15">
        <v>87022.01</v>
      </c>
      <c r="D21" s="15">
        <f t="shared" si="0"/>
        <v>9200949</v>
      </c>
      <c r="E21" s="15">
        <v>829065</v>
      </c>
      <c r="F21" s="16">
        <v>767</v>
      </c>
      <c r="G21" s="15">
        <v>154</v>
      </c>
    </row>
    <row r="22" spans="1:7" ht="12.75">
      <c r="A22" s="22">
        <f t="shared" si="1"/>
        <v>41062</v>
      </c>
      <c r="B22" s="15">
        <v>11854164.87</v>
      </c>
      <c r="C22" s="15">
        <v>102028.87</v>
      </c>
      <c r="D22" s="15">
        <f t="shared" si="0"/>
        <v>10792789</v>
      </c>
      <c r="E22" s="15">
        <v>959347</v>
      </c>
      <c r="F22" s="16">
        <v>767</v>
      </c>
      <c r="G22" s="15">
        <v>179</v>
      </c>
    </row>
    <row r="23" spans="1:7" ht="12.75">
      <c r="A23" s="22">
        <f t="shared" si="1"/>
        <v>41069</v>
      </c>
      <c r="B23" s="15">
        <v>11264002.85</v>
      </c>
      <c r="C23" s="15">
        <v>93771.85</v>
      </c>
      <c r="D23" s="15">
        <f t="shared" si="0"/>
        <v>10282277</v>
      </c>
      <c r="E23" s="15">
        <v>887954</v>
      </c>
      <c r="F23" s="16">
        <v>767</v>
      </c>
      <c r="G23" s="15">
        <v>165</v>
      </c>
    </row>
    <row r="24" spans="1:7" ht="12.75">
      <c r="A24" s="22">
        <f t="shared" si="1"/>
        <v>41076</v>
      </c>
      <c r="B24" s="15">
        <v>9650762.95</v>
      </c>
      <c r="C24" s="15">
        <v>88876.95</v>
      </c>
      <c r="D24" s="15">
        <f t="shared" si="0"/>
        <v>8775188</v>
      </c>
      <c r="E24" s="15">
        <v>786698</v>
      </c>
      <c r="F24" s="16">
        <v>767</v>
      </c>
      <c r="G24" s="15">
        <v>147</v>
      </c>
    </row>
    <row r="25" spans="1:7" ht="12.75">
      <c r="A25" s="22">
        <f t="shared" si="1"/>
        <v>41083</v>
      </c>
      <c r="B25" s="15">
        <v>10290510.67</v>
      </c>
      <c r="C25" s="15">
        <v>94990.67</v>
      </c>
      <c r="D25" s="15">
        <f t="shared" si="0"/>
        <v>9380218</v>
      </c>
      <c r="E25" s="15">
        <v>815302</v>
      </c>
      <c r="F25" s="16">
        <v>767</v>
      </c>
      <c r="G25" s="15">
        <v>152</v>
      </c>
    </row>
    <row r="26" spans="1:7" ht="12.75">
      <c r="A26" s="22">
        <f t="shared" si="1"/>
        <v>41090</v>
      </c>
      <c r="B26" s="15">
        <v>11508285.52</v>
      </c>
      <c r="C26" s="15">
        <v>99346.52</v>
      </c>
      <c r="D26" s="15">
        <f t="shared" si="0"/>
        <v>10486316</v>
      </c>
      <c r="E26" s="15">
        <v>922623</v>
      </c>
      <c r="F26" s="16">
        <v>767</v>
      </c>
      <c r="G26" s="15">
        <v>172</v>
      </c>
    </row>
    <row r="27" spans="1:7" ht="12.75">
      <c r="A27" s="22">
        <f t="shared" si="1"/>
        <v>41097</v>
      </c>
      <c r="B27" s="15">
        <v>13048755.45</v>
      </c>
      <c r="C27" s="15">
        <v>121691.45</v>
      </c>
      <c r="D27" s="15">
        <f t="shared" si="0"/>
        <v>11845437</v>
      </c>
      <c r="E27" s="15">
        <v>1081627</v>
      </c>
      <c r="F27" s="16">
        <v>767</v>
      </c>
      <c r="G27" s="15">
        <v>201</v>
      </c>
    </row>
    <row r="28" spans="1:7" ht="12.75">
      <c r="A28" s="22">
        <f t="shared" si="1"/>
        <v>41104</v>
      </c>
      <c r="B28" s="15">
        <v>11316948.65</v>
      </c>
      <c r="C28" s="15">
        <v>109494.65</v>
      </c>
      <c r="D28" s="15">
        <f t="shared" si="0"/>
        <v>10297448</v>
      </c>
      <c r="E28" s="15">
        <v>910006</v>
      </c>
      <c r="F28" s="16">
        <v>767</v>
      </c>
      <c r="G28" s="15">
        <v>169</v>
      </c>
    </row>
    <row r="29" spans="1:7" ht="12.75">
      <c r="A29" s="22">
        <f t="shared" si="1"/>
        <v>41111</v>
      </c>
      <c r="B29" s="15">
        <v>12209119.11</v>
      </c>
      <c r="C29" s="15">
        <v>112396.11</v>
      </c>
      <c r="D29" s="15">
        <f t="shared" si="0"/>
        <v>11145254</v>
      </c>
      <c r="E29" s="15">
        <v>951469</v>
      </c>
      <c r="F29" s="16">
        <v>767</v>
      </c>
      <c r="G29" s="15">
        <v>177</v>
      </c>
    </row>
    <row r="30" spans="1:7" ht="12.75">
      <c r="A30" s="22">
        <f t="shared" si="1"/>
        <v>41118</v>
      </c>
      <c r="B30" s="15">
        <v>12326952.57</v>
      </c>
      <c r="C30" s="15">
        <v>112616.57</v>
      </c>
      <c r="D30" s="15">
        <f t="shared" si="0"/>
        <v>11215541</v>
      </c>
      <c r="E30" s="15">
        <v>998795</v>
      </c>
      <c r="F30" s="16">
        <v>767</v>
      </c>
      <c r="G30" s="15">
        <v>186</v>
      </c>
    </row>
    <row r="31" spans="1:7" ht="12.75">
      <c r="A31" s="22">
        <f t="shared" si="1"/>
        <v>41125</v>
      </c>
      <c r="B31" s="15">
        <v>11165780.5</v>
      </c>
      <c r="C31" s="15">
        <v>105441.5</v>
      </c>
      <c r="D31" s="15">
        <f t="shared" si="0"/>
        <v>10125517</v>
      </c>
      <c r="E31" s="15">
        <v>934822</v>
      </c>
      <c r="F31" s="16">
        <v>767</v>
      </c>
      <c r="G31" s="15">
        <v>174</v>
      </c>
    </row>
    <row r="32" spans="1:7" ht="12.75">
      <c r="A32" s="22">
        <f t="shared" si="1"/>
        <v>41132</v>
      </c>
      <c r="B32" s="15">
        <v>11698427.4</v>
      </c>
      <c r="C32" s="15">
        <v>112232.4</v>
      </c>
      <c r="D32" s="15">
        <f t="shared" si="0"/>
        <v>10676617</v>
      </c>
      <c r="E32" s="15">
        <v>909578</v>
      </c>
      <c r="F32" s="16">
        <v>767</v>
      </c>
      <c r="G32" s="15">
        <v>169</v>
      </c>
    </row>
    <row r="33" spans="1:7" ht="12.75">
      <c r="A33" s="22">
        <f t="shared" si="1"/>
        <v>41139</v>
      </c>
      <c r="B33" s="15">
        <v>12406344.04</v>
      </c>
      <c r="C33" s="15">
        <v>116719.04</v>
      </c>
      <c r="D33" s="15">
        <f t="shared" si="0"/>
        <v>11367991</v>
      </c>
      <c r="E33" s="15">
        <v>921634</v>
      </c>
      <c r="F33" s="16">
        <v>767</v>
      </c>
      <c r="G33" s="15">
        <v>172</v>
      </c>
    </row>
    <row r="34" spans="1:7" ht="12.75">
      <c r="A34" s="22">
        <f t="shared" si="1"/>
        <v>41146</v>
      </c>
      <c r="B34" s="15">
        <v>10807509.61</v>
      </c>
      <c r="C34" s="15">
        <v>113714.61</v>
      </c>
      <c r="D34" s="15">
        <f t="shared" si="0"/>
        <v>9823867</v>
      </c>
      <c r="E34" s="15">
        <v>869928</v>
      </c>
      <c r="F34" s="16">
        <v>767</v>
      </c>
      <c r="G34" s="15">
        <v>162</v>
      </c>
    </row>
    <row r="35" spans="1:7" ht="12.75">
      <c r="A35" s="22">
        <f t="shared" si="1"/>
        <v>41153</v>
      </c>
      <c r="B35" s="15">
        <v>11671602.21</v>
      </c>
      <c r="C35" s="15">
        <v>110406.21</v>
      </c>
      <c r="D35" s="15">
        <f t="shared" si="0"/>
        <v>10659895</v>
      </c>
      <c r="E35" s="15">
        <v>901301</v>
      </c>
      <c r="F35" s="16">
        <v>767</v>
      </c>
      <c r="G35" s="15">
        <v>168</v>
      </c>
    </row>
    <row r="36" spans="1:7" ht="12.75">
      <c r="A36" s="22">
        <f t="shared" si="1"/>
        <v>41160</v>
      </c>
      <c r="B36" s="15">
        <v>12266207.58</v>
      </c>
      <c r="C36" s="15">
        <v>105036.58</v>
      </c>
      <c r="D36" s="15">
        <f t="shared" si="0"/>
        <v>11192896</v>
      </c>
      <c r="E36" s="15">
        <v>968275</v>
      </c>
      <c r="F36" s="16">
        <v>767</v>
      </c>
      <c r="G36" s="15">
        <v>180</v>
      </c>
    </row>
    <row r="37" spans="1:7" ht="12.75">
      <c r="A37" s="22">
        <f t="shared" si="1"/>
        <v>41167</v>
      </c>
      <c r="B37" s="15">
        <v>10699069.81</v>
      </c>
      <c r="C37" s="15">
        <v>85077.81</v>
      </c>
      <c r="D37" s="15">
        <f t="shared" si="0"/>
        <v>9735518</v>
      </c>
      <c r="E37" s="15">
        <v>878474</v>
      </c>
      <c r="F37" s="16">
        <v>767</v>
      </c>
      <c r="G37" s="15">
        <v>164</v>
      </c>
    </row>
    <row r="38" spans="1:7" ht="12.75">
      <c r="A38" s="22">
        <f t="shared" si="1"/>
        <v>41174</v>
      </c>
      <c r="B38" s="15">
        <v>10199619.99</v>
      </c>
      <c r="C38" s="15">
        <v>101297.99</v>
      </c>
      <c r="D38" s="15">
        <f aca="true" t="shared" si="2" ref="D38:D64">+B38-C38-E38</f>
        <v>9322995</v>
      </c>
      <c r="E38" s="15">
        <v>775327</v>
      </c>
      <c r="F38" s="16">
        <f>5369/7</f>
        <v>767</v>
      </c>
      <c r="G38" s="15">
        <v>144</v>
      </c>
    </row>
    <row r="39" spans="1:7" ht="12.75">
      <c r="A39" s="22">
        <f t="shared" si="1"/>
        <v>41181</v>
      </c>
      <c r="B39" s="15">
        <v>10348538.72</v>
      </c>
      <c r="C39" s="15">
        <v>87535.72</v>
      </c>
      <c r="D39" s="15">
        <f t="shared" si="2"/>
        <v>9438470</v>
      </c>
      <c r="E39" s="15">
        <v>822533</v>
      </c>
      <c r="F39" s="16">
        <f>5369/7</f>
        <v>767</v>
      </c>
      <c r="G39" s="15">
        <v>153</v>
      </c>
    </row>
    <row r="40" spans="1:7" ht="12.75">
      <c r="A40" s="22">
        <f t="shared" si="1"/>
        <v>41188</v>
      </c>
      <c r="B40" s="15">
        <v>10574286.15</v>
      </c>
      <c r="C40" s="15">
        <v>103104.15</v>
      </c>
      <c r="D40" s="15">
        <f t="shared" si="2"/>
        <v>9605267</v>
      </c>
      <c r="E40" s="15">
        <v>865915</v>
      </c>
      <c r="F40" s="16">
        <v>767</v>
      </c>
      <c r="G40" s="15">
        <v>161</v>
      </c>
    </row>
    <row r="41" spans="1:7" ht="12.75">
      <c r="A41" s="22">
        <f t="shared" si="1"/>
        <v>41195</v>
      </c>
      <c r="B41" s="15">
        <v>10502539.71</v>
      </c>
      <c r="C41" s="15">
        <v>-7278.29</v>
      </c>
      <c r="D41" s="15">
        <f t="shared" si="2"/>
        <v>9567261</v>
      </c>
      <c r="E41" s="15">
        <v>942557</v>
      </c>
      <c r="F41" s="16">
        <f>5369/7</f>
        <v>767</v>
      </c>
      <c r="G41" s="15">
        <v>176</v>
      </c>
    </row>
    <row r="42" spans="1:7" ht="12.75">
      <c r="A42" s="22">
        <f t="shared" si="1"/>
        <v>41202</v>
      </c>
      <c r="B42" s="15">
        <v>10176215.85</v>
      </c>
      <c r="C42" s="15">
        <v>108628.85</v>
      </c>
      <c r="D42" s="15">
        <f t="shared" si="2"/>
        <v>9260019</v>
      </c>
      <c r="E42" s="15">
        <v>807568</v>
      </c>
      <c r="F42" s="16">
        <f>5369/7</f>
        <v>767</v>
      </c>
      <c r="G42" s="15">
        <v>150</v>
      </c>
    </row>
    <row r="43" spans="1:7" ht="12.75">
      <c r="A43" s="22">
        <f t="shared" si="1"/>
        <v>41209</v>
      </c>
      <c r="B43" s="15">
        <v>10899287.69</v>
      </c>
      <c r="C43" s="15">
        <v>105569.69</v>
      </c>
      <c r="D43" s="15">
        <f t="shared" si="2"/>
        <v>9986017</v>
      </c>
      <c r="E43" s="15">
        <v>807701</v>
      </c>
      <c r="F43" s="16">
        <v>767</v>
      </c>
      <c r="G43" s="15">
        <v>150</v>
      </c>
    </row>
    <row r="44" spans="1:7" ht="12.75">
      <c r="A44" s="22">
        <f t="shared" si="1"/>
        <v>41216</v>
      </c>
      <c r="B44" s="15">
        <v>10373387.07</v>
      </c>
      <c r="C44" s="15">
        <v>111792.07</v>
      </c>
      <c r="D44" s="15">
        <f t="shared" si="2"/>
        <v>9437951</v>
      </c>
      <c r="E44" s="15">
        <v>823644</v>
      </c>
      <c r="F44" s="16">
        <v>767</v>
      </c>
      <c r="G44" s="15">
        <v>153</v>
      </c>
    </row>
    <row r="45" spans="1:7" ht="12.75">
      <c r="A45" s="22">
        <f t="shared" si="1"/>
        <v>41223</v>
      </c>
      <c r="B45" s="15">
        <v>9646443.35</v>
      </c>
      <c r="C45" s="15">
        <v>91807.35</v>
      </c>
      <c r="D45" s="15">
        <f t="shared" si="2"/>
        <v>8799667</v>
      </c>
      <c r="E45" s="15">
        <v>754969</v>
      </c>
      <c r="F45" s="16">
        <v>767</v>
      </c>
      <c r="G45" s="15">
        <v>141</v>
      </c>
    </row>
    <row r="46" spans="1:7" ht="12.75">
      <c r="A46" s="22">
        <f t="shared" si="1"/>
        <v>41230</v>
      </c>
      <c r="B46" s="15">
        <v>9848225.25</v>
      </c>
      <c r="C46" s="15">
        <v>95202.25</v>
      </c>
      <c r="D46" s="15">
        <f t="shared" si="2"/>
        <v>8967092</v>
      </c>
      <c r="E46" s="15">
        <v>785931</v>
      </c>
      <c r="F46" s="16">
        <v>767</v>
      </c>
      <c r="G46" s="15">
        <v>146</v>
      </c>
    </row>
    <row r="47" spans="1:7" ht="12.75">
      <c r="A47" s="22">
        <f t="shared" si="1"/>
        <v>41237</v>
      </c>
      <c r="B47" s="15">
        <v>9367190.66</v>
      </c>
      <c r="C47" s="15">
        <v>83228.66</v>
      </c>
      <c r="D47" s="15">
        <f t="shared" si="2"/>
        <v>8532616</v>
      </c>
      <c r="E47" s="15">
        <v>751346</v>
      </c>
      <c r="F47" s="16">
        <f>5369/7</f>
        <v>767</v>
      </c>
      <c r="G47" s="15">
        <v>140</v>
      </c>
    </row>
    <row r="48" spans="1:7" ht="12.75">
      <c r="A48" s="22">
        <f t="shared" si="1"/>
        <v>41244</v>
      </c>
      <c r="B48" s="15">
        <v>9616462.2</v>
      </c>
      <c r="C48" s="15">
        <v>80848.2</v>
      </c>
      <c r="D48" s="15">
        <f t="shared" si="2"/>
        <v>8785968</v>
      </c>
      <c r="E48" s="15">
        <v>749646</v>
      </c>
      <c r="F48" s="16">
        <v>767</v>
      </c>
      <c r="G48" s="15">
        <v>140</v>
      </c>
    </row>
    <row r="49" spans="1:7" ht="12.75">
      <c r="A49" s="22">
        <f t="shared" si="1"/>
        <v>41251</v>
      </c>
      <c r="B49" s="15">
        <v>8809334.31</v>
      </c>
      <c r="C49" s="15">
        <v>83238.31</v>
      </c>
      <c r="D49" s="15">
        <f t="shared" si="2"/>
        <v>7977019</v>
      </c>
      <c r="E49" s="15">
        <v>749077</v>
      </c>
      <c r="F49" s="16">
        <v>767</v>
      </c>
      <c r="G49" s="15">
        <v>140</v>
      </c>
    </row>
    <row r="50" spans="1:7" ht="12.75">
      <c r="A50" s="22">
        <f t="shared" si="1"/>
        <v>41258</v>
      </c>
      <c r="B50" s="15">
        <v>9104961.51</v>
      </c>
      <c r="C50" s="15">
        <v>76143.51</v>
      </c>
      <c r="D50" s="15">
        <f t="shared" si="2"/>
        <v>8293233</v>
      </c>
      <c r="E50" s="15">
        <v>735585</v>
      </c>
      <c r="F50" s="16">
        <v>767</v>
      </c>
      <c r="G50" s="15">
        <v>137</v>
      </c>
    </row>
    <row r="51" spans="1:7" ht="12.75">
      <c r="A51" s="22">
        <f t="shared" si="1"/>
        <v>41265</v>
      </c>
      <c r="B51" s="15">
        <v>6998176.25</v>
      </c>
      <c r="C51" s="15">
        <v>73955.25</v>
      </c>
      <c r="D51" s="15">
        <f t="shared" si="2"/>
        <v>6351879</v>
      </c>
      <c r="E51" s="15">
        <v>572342</v>
      </c>
      <c r="F51" s="16">
        <v>767</v>
      </c>
      <c r="G51" s="15">
        <v>107</v>
      </c>
    </row>
    <row r="52" spans="1:7" ht="12.75">
      <c r="A52" s="22">
        <f t="shared" si="1"/>
        <v>41272</v>
      </c>
      <c r="B52" s="15">
        <v>6678045.8</v>
      </c>
      <c r="C52" s="15">
        <v>69730.8</v>
      </c>
      <c r="D52" s="15">
        <f t="shared" si="2"/>
        <v>6101747</v>
      </c>
      <c r="E52" s="15">
        <v>506568</v>
      </c>
      <c r="F52" s="16">
        <f>5369/7</f>
        <v>767</v>
      </c>
      <c r="G52" s="15">
        <v>94</v>
      </c>
    </row>
    <row r="53" spans="1:7" ht="12.75">
      <c r="A53" s="22">
        <f t="shared" si="1"/>
        <v>41279</v>
      </c>
      <c r="B53" s="15">
        <v>11650036.1</v>
      </c>
      <c r="C53" s="15">
        <v>103354.1</v>
      </c>
      <c r="D53" s="15">
        <f t="shared" si="2"/>
        <v>10618020</v>
      </c>
      <c r="E53" s="15">
        <v>928662</v>
      </c>
      <c r="F53" s="16">
        <v>767</v>
      </c>
      <c r="G53" s="15">
        <v>173</v>
      </c>
    </row>
    <row r="54" spans="1:7" ht="12.75">
      <c r="A54" s="22">
        <f t="shared" si="1"/>
        <v>41286</v>
      </c>
      <c r="B54" s="15">
        <v>9621192.91</v>
      </c>
      <c r="C54" s="15">
        <v>77210.91</v>
      </c>
      <c r="D54" s="15">
        <f t="shared" si="2"/>
        <v>8766725</v>
      </c>
      <c r="E54" s="15">
        <v>777257</v>
      </c>
      <c r="F54" s="16">
        <v>767</v>
      </c>
      <c r="G54" s="15">
        <v>145</v>
      </c>
    </row>
    <row r="55" spans="1:7" ht="12.75">
      <c r="A55" s="22">
        <f t="shared" si="1"/>
        <v>41293</v>
      </c>
      <c r="B55" s="15">
        <v>9214945.65</v>
      </c>
      <c r="C55" s="15">
        <v>87187.65</v>
      </c>
      <c r="D55" s="15">
        <f t="shared" si="2"/>
        <v>8382797</v>
      </c>
      <c r="E55" s="15">
        <v>744961</v>
      </c>
      <c r="F55" s="16">
        <v>767</v>
      </c>
      <c r="G55" s="15">
        <v>139</v>
      </c>
    </row>
    <row r="56" spans="1:7" ht="12.75">
      <c r="A56" s="22">
        <f t="shared" si="1"/>
        <v>41300</v>
      </c>
      <c r="B56" s="15">
        <v>7565648.34</v>
      </c>
      <c r="C56" s="15">
        <v>56073.34</v>
      </c>
      <c r="D56" s="15">
        <f t="shared" si="2"/>
        <v>6900628</v>
      </c>
      <c r="E56" s="15">
        <v>608947</v>
      </c>
      <c r="F56" s="16">
        <v>767</v>
      </c>
      <c r="G56" s="15">
        <v>113</v>
      </c>
    </row>
    <row r="57" spans="1:7" ht="12.75">
      <c r="A57" s="22">
        <f t="shared" si="1"/>
        <v>41307</v>
      </c>
      <c r="B57" s="15">
        <v>8871776.05</v>
      </c>
      <c r="C57" s="15">
        <v>96716.05</v>
      </c>
      <c r="D57" s="15">
        <f t="shared" si="2"/>
        <v>8058691</v>
      </c>
      <c r="E57" s="15">
        <v>716369</v>
      </c>
      <c r="F57" s="16">
        <v>767</v>
      </c>
      <c r="G57" s="15">
        <v>133</v>
      </c>
    </row>
    <row r="58" spans="1:7" ht="12.75">
      <c r="A58" s="22">
        <f t="shared" si="1"/>
        <v>41314</v>
      </c>
      <c r="B58" s="15">
        <v>7874328.25</v>
      </c>
      <c r="C58" s="15">
        <v>69154.25</v>
      </c>
      <c r="D58" s="15">
        <f t="shared" si="2"/>
        <v>7164674</v>
      </c>
      <c r="E58" s="15">
        <v>640500</v>
      </c>
      <c r="F58" s="16">
        <v>767</v>
      </c>
      <c r="G58" s="15">
        <v>119</v>
      </c>
    </row>
    <row r="59" spans="1:7" ht="12.75">
      <c r="A59" s="22">
        <f t="shared" si="1"/>
        <v>41321</v>
      </c>
      <c r="B59" s="15">
        <v>10798271.99</v>
      </c>
      <c r="C59" s="15">
        <v>95909.99</v>
      </c>
      <c r="D59" s="15">
        <f t="shared" si="2"/>
        <v>9777578</v>
      </c>
      <c r="E59" s="15">
        <v>924784</v>
      </c>
      <c r="F59" s="16">
        <v>767</v>
      </c>
      <c r="G59" s="15">
        <v>172</v>
      </c>
    </row>
    <row r="60" spans="1:7" ht="12.75">
      <c r="A60" s="22">
        <f t="shared" si="1"/>
        <v>41328</v>
      </c>
      <c r="B60" s="15">
        <v>9980607.77</v>
      </c>
      <c r="C60" s="15">
        <v>84160.77</v>
      </c>
      <c r="D60" s="15">
        <f t="shared" si="2"/>
        <v>9083563</v>
      </c>
      <c r="E60" s="15">
        <v>812884</v>
      </c>
      <c r="F60" s="16">
        <v>767</v>
      </c>
      <c r="G60" s="15">
        <v>151</v>
      </c>
    </row>
    <row r="61" spans="1:7" ht="12.75">
      <c r="A61" s="22">
        <f t="shared" si="1"/>
        <v>41335</v>
      </c>
      <c r="B61" s="15">
        <v>11362299.9</v>
      </c>
      <c r="C61" s="15">
        <v>96581.9</v>
      </c>
      <c r="D61" s="15">
        <f t="shared" si="2"/>
        <v>10367076</v>
      </c>
      <c r="E61" s="15">
        <v>898642</v>
      </c>
      <c r="F61" s="16">
        <v>767</v>
      </c>
      <c r="G61" s="15">
        <v>167</v>
      </c>
    </row>
    <row r="62" spans="1:7" ht="12.75">
      <c r="A62" s="22">
        <f t="shared" si="1"/>
        <v>41342</v>
      </c>
      <c r="B62" s="15">
        <v>10536564.3</v>
      </c>
      <c r="C62" s="15">
        <v>76768.3</v>
      </c>
      <c r="D62" s="15">
        <f t="shared" si="2"/>
        <v>9625342</v>
      </c>
      <c r="E62" s="15">
        <v>834454</v>
      </c>
      <c r="F62" s="16">
        <v>767</v>
      </c>
      <c r="G62" s="15">
        <v>155</v>
      </c>
    </row>
    <row r="63" spans="1:7" ht="12.75">
      <c r="A63" s="22">
        <f t="shared" si="1"/>
        <v>41349</v>
      </c>
      <c r="B63" s="15">
        <v>10212384.39</v>
      </c>
      <c r="C63" s="15">
        <v>86588.39</v>
      </c>
      <c r="D63" s="15">
        <f t="shared" si="2"/>
        <v>9267099</v>
      </c>
      <c r="E63" s="15">
        <v>858697</v>
      </c>
      <c r="F63" s="16">
        <v>767</v>
      </c>
      <c r="G63" s="15">
        <v>160</v>
      </c>
    </row>
    <row r="64" spans="1:7" ht="12.75">
      <c r="A64" s="22">
        <f t="shared" si="1"/>
        <v>41356</v>
      </c>
      <c r="B64" s="15">
        <v>8918043</v>
      </c>
      <c r="C64" s="15">
        <v>52273</v>
      </c>
      <c r="D64" s="15">
        <f t="shared" si="2"/>
        <v>8087929</v>
      </c>
      <c r="E64" s="15">
        <v>777841</v>
      </c>
      <c r="F64" s="16">
        <v>767</v>
      </c>
      <c r="G64" s="15">
        <v>145</v>
      </c>
    </row>
    <row r="65" ht="12.75">
      <c r="A65" s="22"/>
    </row>
    <row r="66" spans="1:7" ht="13.5" thickBot="1">
      <c r="A66" s="3" t="s">
        <v>8</v>
      </c>
      <c r="B66" s="17">
        <f>SUM(B13:B64)</f>
        <v>538974035.19</v>
      </c>
      <c r="C66" s="17">
        <f>SUM(C13:C64)</f>
        <v>4523224.1899999995</v>
      </c>
      <c r="D66" s="17">
        <f>SUM(D13:D64)</f>
        <v>490986857</v>
      </c>
      <c r="E66" s="17">
        <f>SUM(E13:E64)</f>
        <v>43463954</v>
      </c>
      <c r="F66" s="23">
        <f>SUM(F13:F64)/COUNT(F13:F64)</f>
        <v>767</v>
      </c>
      <c r="G66" s="17">
        <f>+E66/SUM(F13:F64)/7</f>
        <v>155.67987879135208</v>
      </c>
    </row>
    <row r="67" spans="1:5" s="21" customFormat="1" ht="13.5" thickTop="1">
      <c r="A67" s="19"/>
      <c r="B67" s="20"/>
      <c r="C67" s="20"/>
      <c r="D67" s="20"/>
      <c r="E67" s="20"/>
    </row>
  </sheetData>
  <sheetProtection/>
  <mergeCells count="6">
    <mergeCell ref="A8:G8"/>
    <mergeCell ref="A1:G1"/>
    <mergeCell ref="A2:G2"/>
    <mergeCell ref="A3:G3"/>
    <mergeCell ref="A4:G4"/>
    <mergeCell ref="A5:G5"/>
  </mergeCells>
  <hyperlinks>
    <hyperlink ref="A4" r:id="rId1" display="www.vernondowns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B35" sqref="B35"/>
    </sheetView>
  </sheetViews>
  <sheetFormatPr defaultColWidth="9.140625" defaultRowHeight="12.75"/>
  <cols>
    <col min="1" max="1" width="15.7109375" style="3" customWidth="1"/>
    <col min="2" max="5" width="15.7109375" style="15" customWidth="1"/>
    <col min="6" max="6" width="15.7109375" style="16" customWidth="1"/>
    <col min="7" max="7" width="15.7109375" style="15" customWidth="1"/>
  </cols>
  <sheetData>
    <row r="1" spans="1:11" ht="18">
      <c r="A1" s="71" t="s">
        <v>19</v>
      </c>
      <c r="B1" s="71"/>
      <c r="C1" s="71"/>
      <c r="D1" s="71"/>
      <c r="E1" s="71"/>
      <c r="F1" s="71"/>
      <c r="G1" s="71"/>
      <c r="H1" s="25"/>
      <c r="I1" s="25"/>
      <c r="J1" s="25"/>
      <c r="K1" s="25"/>
    </row>
    <row r="2" spans="1:11" ht="15">
      <c r="A2" s="72" t="s">
        <v>15</v>
      </c>
      <c r="B2" s="72"/>
      <c r="C2" s="72"/>
      <c r="D2" s="72"/>
      <c r="E2" s="72"/>
      <c r="F2" s="72"/>
      <c r="G2" s="72"/>
      <c r="H2" s="26"/>
      <c r="I2" s="26"/>
      <c r="J2" s="26"/>
      <c r="K2" s="26"/>
    </row>
    <row r="3" spans="1:11" s="1" customFormat="1" ht="15">
      <c r="A3" s="72" t="s">
        <v>16</v>
      </c>
      <c r="B3" s="72"/>
      <c r="C3" s="72"/>
      <c r="D3" s="72"/>
      <c r="E3" s="72"/>
      <c r="F3" s="72"/>
      <c r="G3" s="72"/>
      <c r="H3" s="26"/>
      <c r="I3" s="26"/>
      <c r="J3" s="26"/>
      <c r="K3" s="26"/>
    </row>
    <row r="4" spans="1:11" s="1" customFormat="1" ht="14.25" customHeight="1">
      <c r="A4" s="63" t="s">
        <v>17</v>
      </c>
      <c r="B4" s="63"/>
      <c r="C4" s="63"/>
      <c r="D4" s="63"/>
      <c r="E4" s="63"/>
      <c r="F4" s="63"/>
      <c r="G4" s="63"/>
      <c r="H4" s="27"/>
      <c r="I4" s="27"/>
      <c r="J4" s="27"/>
      <c r="K4" s="27"/>
    </row>
    <row r="5" spans="1:11" s="1" customFormat="1" ht="14.25">
      <c r="A5" s="73" t="s">
        <v>18</v>
      </c>
      <c r="B5" s="73"/>
      <c r="C5" s="73"/>
      <c r="D5" s="73"/>
      <c r="E5" s="73"/>
      <c r="F5" s="73"/>
      <c r="G5" s="73"/>
      <c r="H5" s="28"/>
      <c r="I5" s="28"/>
      <c r="J5" s="28"/>
      <c r="K5" s="28"/>
    </row>
    <row r="6" spans="1:11" s="1" customFormat="1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7" s="1" customFormat="1" ht="12.75">
      <c r="A7" s="3"/>
      <c r="B7" s="4"/>
      <c r="C7" s="4"/>
      <c r="D7" s="4"/>
      <c r="E7" s="5"/>
      <c r="F7" s="6"/>
      <c r="G7" s="5"/>
    </row>
    <row r="8" spans="1:7" s="7" customFormat="1" ht="14.25" customHeight="1">
      <c r="A8" s="68" t="s">
        <v>21</v>
      </c>
      <c r="B8" s="69"/>
      <c r="C8" s="69"/>
      <c r="D8" s="69"/>
      <c r="E8" s="69"/>
      <c r="F8" s="69"/>
      <c r="G8" s="70"/>
    </row>
    <row r="9" spans="1:7" s="1" customFormat="1" ht="9" customHeight="1">
      <c r="A9" s="3"/>
      <c r="B9" s="4"/>
      <c r="C9" s="4"/>
      <c r="D9" s="4"/>
      <c r="E9" s="5"/>
      <c r="F9" s="6"/>
      <c r="G9" s="5"/>
    </row>
    <row r="10" spans="1:7" s="12" customFormat="1" ht="12">
      <c r="A10" s="9"/>
      <c r="B10" s="10" t="s">
        <v>0</v>
      </c>
      <c r="C10" s="10" t="s">
        <v>22</v>
      </c>
      <c r="D10" s="10" t="s">
        <v>0</v>
      </c>
      <c r="E10" s="10"/>
      <c r="F10" s="11" t="s">
        <v>1</v>
      </c>
      <c r="G10" s="10" t="s">
        <v>2</v>
      </c>
    </row>
    <row r="11" spans="1:7" s="12" customFormat="1" ht="12">
      <c r="A11" s="13" t="s">
        <v>11</v>
      </c>
      <c r="B11" s="8" t="s">
        <v>3</v>
      </c>
      <c r="C11" s="8" t="s">
        <v>24</v>
      </c>
      <c r="D11" s="8" t="s">
        <v>4</v>
      </c>
      <c r="E11" s="8" t="s">
        <v>5</v>
      </c>
      <c r="F11" s="14" t="s">
        <v>6</v>
      </c>
      <c r="G11" s="8" t="s">
        <v>7</v>
      </c>
    </row>
    <row r="13" spans="1:7" ht="12.75">
      <c r="A13" s="22">
        <v>40635</v>
      </c>
      <c r="B13" s="15">
        <v>10372437</v>
      </c>
      <c r="C13" s="15">
        <v>0</v>
      </c>
      <c r="D13" s="15">
        <f aca="true" t="shared" si="0" ref="D13:D64">+B13-C13-E13</f>
        <v>9451793</v>
      </c>
      <c r="E13" s="15">
        <v>920644</v>
      </c>
      <c r="F13" s="16">
        <v>761</v>
      </c>
      <c r="G13" s="15">
        <v>173</v>
      </c>
    </row>
    <row r="14" spans="1:7" ht="12.75">
      <c r="A14" s="22">
        <f aca="true" t="shared" si="1" ref="A14:A45">+A13+7</f>
        <v>40642</v>
      </c>
      <c r="B14" s="15">
        <v>9333283</v>
      </c>
      <c r="C14" s="15">
        <v>31586</v>
      </c>
      <c r="D14" s="15">
        <f t="shared" si="0"/>
        <v>8524837</v>
      </c>
      <c r="E14" s="15">
        <v>776860</v>
      </c>
      <c r="F14" s="16">
        <v>761</v>
      </c>
      <c r="G14" s="15">
        <v>146</v>
      </c>
    </row>
    <row r="15" spans="1:7" ht="12.75">
      <c r="A15" s="22">
        <f t="shared" si="1"/>
        <v>40649</v>
      </c>
      <c r="B15" s="15">
        <v>9260225.57</v>
      </c>
      <c r="C15" s="15">
        <v>40473.57</v>
      </c>
      <c r="D15" s="15">
        <f t="shared" si="0"/>
        <v>8472576</v>
      </c>
      <c r="E15" s="15">
        <v>747176</v>
      </c>
      <c r="F15" s="16">
        <v>761</v>
      </c>
      <c r="G15" s="15">
        <v>140</v>
      </c>
    </row>
    <row r="16" spans="1:7" ht="12.75">
      <c r="A16" s="22">
        <f t="shared" si="1"/>
        <v>40656</v>
      </c>
      <c r="B16" s="15">
        <v>10195097</v>
      </c>
      <c r="C16" s="15">
        <v>67167</v>
      </c>
      <c r="D16" s="15">
        <f t="shared" si="0"/>
        <v>9340383</v>
      </c>
      <c r="E16" s="15">
        <v>787547</v>
      </c>
      <c r="F16" s="16">
        <v>761</v>
      </c>
      <c r="G16" s="15">
        <v>148</v>
      </c>
    </row>
    <row r="17" spans="1:7" ht="12.75">
      <c r="A17" s="22">
        <f t="shared" si="1"/>
        <v>40663</v>
      </c>
      <c r="B17" s="15">
        <v>10295815.1</v>
      </c>
      <c r="C17" s="15">
        <v>56874.1</v>
      </c>
      <c r="D17" s="15">
        <f t="shared" si="0"/>
        <v>9368698</v>
      </c>
      <c r="E17" s="15">
        <v>870243</v>
      </c>
      <c r="F17" s="16">
        <v>761</v>
      </c>
      <c r="G17" s="15">
        <v>163</v>
      </c>
    </row>
    <row r="18" spans="1:7" ht="12.75">
      <c r="A18" s="22">
        <f t="shared" si="1"/>
        <v>40670</v>
      </c>
      <c r="B18" s="15">
        <v>10979559.17</v>
      </c>
      <c r="C18" s="15">
        <v>74536.17</v>
      </c>
      <c r="D18" s="15">
        <f t="shared" si="0"/>
        <v>9998189</v>
      </c>
      <c r="E18" s="15">
        <v>906834</v>
      </c>
      <c r="F18" s="16">
        <v>761</v>
      </c>
      <c r="G18" s="15">
        <v>170</v>
      </c>
    </row>
    <row r="19" spans="1:7" ht="12.75">
      <c r="A19" s="22">
        <f t="shared" si="1"/>
        <v>40677</v>
      </c>
      <c r="B19" s="15">
        <v>10678727.77</v>
      </c>
      <c r="C19" s="15">
        <v>74772.77</v>
      </c>
      <c r="D19" s="15">
        <f t="shared" si="0"/>
        <v>9731676</v>
      </c>
      <c r="E19" s="15">
        <v>872279</v>
      </c>
      <c r="F19" s="16">
        <v>761</v>
      </c>
      <c r="G19" s="15">
        <v>164</v>
      </c>
    </row>
    <row r="20" spans="1:7" ht="12.75">
      <c r="A20" s="22">
        <f t="shared" si="1"/>
        <v>40684</v>
      </c>
      <c r="B20" s="15">
        <v>10413731.1</v>
      </c>
      <c r="C20" s="15">
        <v>72640.1</v>
      </c>
      <c r="D20" s="15">
        <f t="shared" si="0"/>
        <v>9476007</v>
      </c>
      <c r="E20" s="15">
        <v>865084</v>
      </c>
      <c r="F20" s="16">
        <v>761</v>
      </c>
      <c r="G20" s="15">
        <v>162</v>
      </c>
    </row>
    <row r="21" spans="1:7" ht="12.75">
      <c r="A21" s="22">
        <f t="shared" si="1"/>
        <v>40691</v>
      </c>
      <c r="B21" s="15">
        <v>10253883.38</v>
      </c>
      <c r="C21" s="15">
        <v>74290.38</v>
      </c>
      <c r="D21" s="15">
        <f t="shared" si="0"/>
        <v>9370248</v>
      </c>
      <c r="E21" s="15">
        <v>809345</v>
      </c>
      <c r="F21" s="16">
        <v>761</v>
      </c>
      <c r="G21" s="15">
        <v>152</v>
      </c>
    </row>
    <row r="22" spans="1:7" ht="12.75">
      <c r="A22" s="22">
        <f t="shared" si="1"/>
        <v>40698</v>
      </c>
      <c r="B22" s="15">
        <v>11779597.59</v>
      </c>
      <c r="C22" s="15">
        <v>100632.59</v>
      </c>
      <c r="D22" s="15">
        <f t="shared" si="0"/>
        <v>10719584</v>
      </c>
      <c r="E22" s="15">
        <v>959381</v>
      </c>
      <c r="F22" s="16">
        <v>761</v>
      </c>
      <c r="G22" s="15">
        <v>180</v>
      </c>
    </row>
    <row r="23" spans="1:7" ht="12.75">
      <c r="A23" s="22">
        <f t="shared" si="1"/>
        <v>40705</v>
      </c>
      <c r="B23" s="15">
        <v>10191681.33</v>
      </c>
      <c r="C23" s="15">
        <v>76471.33</v>
      </c>
      <c r="D23" s="15">
        <f t="shared" si="0"/>
        <v>9278288</v>
      </c>
      <c r="E23" s="15">
        <v>836922</v>
      </c>
      <c r="F23" s="16">
        <v>761</v>
      </c>
      <c r="G23" s="15">
        <v>157</v>
      </c>
    </row>
    <row r="24" spans="1:7" ht="12.75">
      <c r="A24" s="22">
        <f t="shared" si="1"/>
        <v>40712</v>
      </c>
      <c r="B24" s="15">
        <v>10738171.89</v>
      </c>
      <c r="C24" s="15">
        <v>43239.89</v>
      </c>
      <c r="D24" s="15">
        <f t="shared" si="0"/>
        <v>9784677</v>
      </c>
      <c r="E24" s="15">
        <v>910255</v>
      </c>
      <c r="F24" s="16">
        <v>761</v>
      </c>
      <c r="G24" s="15">
        <v>171</v>
      </c>
    </row>
    <row r="25" spans="1:7" ht="12.75">
      <c r="A25" s="22">
        <f t="shared" si="1"/>
        <v>40719</v>
      </c>
      <c r="B25" s="15">
        <v>10957705.48</v>
      </c>
      <c r="C25" s="15">
        <v>84227.48</v>
      </c>
      <c r="D25" s="15">
        <f t="shared" si="0"/>
        <v>10049387</v>
      </c>
      <c r="E25" s="15">
        <v>824091</v>
      </c>
      <c r="F25" s="16">
        <v>761</v>
      </c>
      <c r="G25" s="15">
        <v>155</v>
      </c>
    </row>
    <row r="26" spans="1:7" ht="12.75">
      <c r="A26" s="22">
        <f t="shared" si="1"/>
        <v>40726</v>
      </c>
      <c r="B26" s="15">
        <v>11970902.32</v>
      </c>
      <c r="C26" s="15">
        <v>97047.32</v>
      </c>
      <c r="D26" s="15">
        <f t="shared" si="0"/>
        <v>10904056</v>
      </c>
      <c r="E26" s="15">
        <v>969799</v>
      </c>
      <c r="F26" s="16">
        <v>761</v>
      </c>
      <c r="G26" s="15">
        <v>182</v>
      </c>
    </row>
    <row r="27" spans="1:7" ht="12.75">
      <c r="A27" s="22">
        <f t="shared" si="1"/>
        <v>40733</v>
      </c>
      <c r="B27" s="15">
        <v>12035904.87</v>
      </c>
      <c r="C27" s="15">
        <v>96842.87</v>
      </c>
      <c r="D27" s="15">
        <f t="shared" si="0"/>
        <v>10987153</v>
      </c>
      <c r="E27" s="15">
        <v>951909</v>
      </c>
      <c r="F27" s="16">
        <v>761</v>
      </c>
      <c r="G27" s="15">
        <v>179</v>
      </c>
    </row>
    <row r="28" spans="1:7" ht="12.75">
      <c r="A28" s="22">
        <f t="shared" si="1"/>
        <v>40740</v>
      </c>
      <c r="B28" s="15">
        <v>10763055.29</v>
      </c>
      <c r="C28" s="15">
        <v>85613.29</v>
      </c>
      <c r="D28" s="15">
        <f t="shared" si="0"/>
        <v>9903330</v>
      </c>
      <c r="E28" s="15">
        <v>774112</v>
      </c>
      <c r="F28" s="16">
        <v>761</v>
      </c>
      <c r="G28" s="15">
        <v>145</v>
      </c>
    </row>
    <row r="29" spans="1:7" ht="12.75">
      <c r="A29" s="22">
        <f t="shared" si="1"/>
        <v>40747</v>
      </c>
      <c r="B29" s="15">
        <v>11102476.75</v>
      </c>
      <c r="C29" s="15">
        <v>85330.75</v>
      </c>
      <c r="D29" s="15">
        <f t="shared" si="0"/>
        <v>10109499</v>
      </c>
      <c r="E29" s="15">
        <v>907647</v>
      </c>
      <c r="F29" s="16">
        <v>761</v>
      </c>
      <c r="G29" s="15">
        <v>170</v>
      </c>
    </row>
    <row r="30" spans="1:7" ht="12.75">
      <c r="A30" s="22">
        <f t="shared" si="1"/>
        <v>40754</v>
      </c>
      <c r="B30" s="15">
        <v>13302139.55</v>
      </c>
      <c r="C30" s="15">
        <v>117728.55</v>
      </c>
      <c r="D30" s="15">
        <f t="shared" si="0"/>
        <v>12207145</v>
      </c>
      <c r="E30" s="15">
        <v>977266</v>
      </c>
      <c r="F30" s="16">
        <v>758</v>
      </c>
      <c r="G30" s="15">
        <v>184</v>
      </c>
    </row>
    <row r="31" spans="1:7" ht="12.75">
      <c r="A31" s="22">
        <f t="shared" si="1"/>
        <v>40761</v>
      </c>
      <c r="B31" s="15">
        <v>11520080.35</v>
      </c>
      <c r="C31" s="15">
        <v>92872.35</v>
      </c>
      <c r="D31" s="15">
        <f t="shared" si="0"/>
        <v>10485839</v>
      </c>
      <c r="E31" s="15">
        <v>941369</v>
      </c>
      <c r="F31" s="16">
        <v>767</v>
      </c>
      <c r="G31" s="15">
        <v>175</v>
      </c>
    </row>
    <row r="32" spans="1:7" ht="12.75">
      <c r="A32" s="22">
        <f t="shared" si="1"/>
        <v>40768</v>
      </c>
      <c r="B32" s="15">
        <v>11258920.01</v>
      </c>
      <c r="C32" s="15">
        <v>89463.01</v>
      </c>
      <c r="D32" s="15">
        <f t="shared" si="0"/>
        <v>10338610</v>
      </c>
      <c r="E32" s="15">
        <v>830847</v>
      </c>
      <c r="F32" s="16">
        <v>767</v>
      </c>
      <c r="G32" s="15">
        <v>155</v>
      </c>
    </row>
    <row r="33" spans="1:7" ht="12.75">
      <c r="A33" s="22">
        <f t="shared" si="1"/>
        <v>40775</v>
      </c>
      <c r="B33" s="15">
        <v>12071835.37</v>
      </c>
      <c r="C33" s="15">
        <v>94640.37</v>
      </c>
      <c r="D33" s="15">
        <f t="shared" si="0"/>
        <v>10988398</v>
      </c>
      <c r="E33" s="15">
        <v>988797</v>
      </c>
      <c r="F33" s="16">
        <v>767</v>
      </c>
      <c r="G33" s="15">
        <v>184</v>
      </c>
    </row>
    <row r="34" spans="1:7" ht="12.75">
      <c r="A34" s="22">
        <f t="shared" si="1"/>
        <v>40782</v>
      </c>
      <c r="B34" s="15">
        <v>11817628.7</v>
      </c>
      <c r="C34" s="15">
        <v>94487.7</v>
      </c>
      <c r="D34" s="15">
        <f t="shared" si="0"/>
        <v>10766190</v>
      </c>
      <c r="E34" s="15">
        <v>956951</v>
      </c>
      <c r="F34" s="16">
        <v>767</v>
      </c>
      <c r="G34" s="15">
        <v>178</v>
      </c>
    </row>
    <row r="35" spans="1:7" ht="12.75">
      <c r="A35" s="22">
        <f t="shared" si="1"/>
        <v>40789</v>
      </c>
      <c r="B35" s="15">
        <v>12253484.338</v>
      </c>
      <c r="C35" s="15">
        <v>111414.338</v>
      </c>
      <c r="D35" s="15">
        <f t="shared" si="0"/>
        <v>11183517</v>
      </c>
      <c r="E35" s="15">
        <v>958553</v>
      </c>
      <c r="F35" s="16">
        <v>767</v>
      </c>
      <c r="G35" s="15">
        <v>179</v>
      </c>
    </row>
    <row r="36" spans="1:7" ht="12.75">
      <c r="A36" s="22">
        <f t="shared" si="1"/>
        <v>40796</v>
      </c>
      <c r="B36" s="15">
        <v>12225497.9</v>
      </c>
      <c r="C36" s="15">
        <v>106006.9</v>
      </c>
      <c r="D36" s="15">
        <f t="shared" si="0"/>
        <v>11187760</v>
      </c>
      <c r="E36" s="15">
        <v>931731</v>
      </c>
      <c r="F36" s="16">
        <v>767</v>
      </c>
      <c r="G36" s="15">
        <v>174</v>
      </c>
    </row>
    <row r="37" spans="1:7" ht="12.75">
      <c r="A37" s="22">
        <f t="shared" si="1"/>
        <v>40803</v>
      </c>
      <c r="B37" s="15">
        <v>11727962.8</v>
      </c>
      <c r="C37" s="15">
        <v>115824.8</v>
      </c>
      <c r="D37" s="15">
        <f t="shared" si="0"/>
        <v>10773597</v>
      </c>
      <c r="E37" s="15">
        <v>838541</v>
      </c>
      <c r="F37" s="16">
        <v>767</v>
      </c>
      <c r="G37" s="15">
        <v>156</v>
      </c>
    </row>
    <row r="38" spans="1:7" ht="12.75">
      <c r="A38" s="22">
        <f t="shared" si="1"/>
        <v>40810</v>
      </c>
      <c r="B38" s="15">
        <v>10522746.5</v>
      </c>
      <c r="C38" s="15">
        <v>105249.5</v>
      </c>
      <c r="D38" s="15">
        <f t="shared" si="0"/>
        <v>9608310</v>
      </c>
      <c r="E38" s="15">
        <v>809187</v>
      </c>
      <c r="F38" s="16">
        <v>767</v>
      </c>
      <c r="G38" s="15">
        <v>151</v>
      </c>
    </row>
    <row r="39" spans="1:7" ht="12.75">
      <c r="A39" s="22">
        <f t="shared" si="1"/>
        <v>40817</v>
      </c>
      <c r="B39" s="15">
        <v>11729571.09</v>
      </c>
      <c r="C39" s="15">
        <v>109567.09</v>
      </c>
      <c r="D39" s="15">
        <f t="shared" si="0"/>
        <v>10710038</v>
      </c>
      <c r="E39" s="15">
        <v>909966</v>
      </c>
      <c r="F39" s="16">
        <v>767</v>
      </c>
      <c r="G39" s="15">
        <v>169</v>
      </c>
    </row>
    <row r="40" spans="1:7" ht="12.75">
      <c r="A40" s="22">
        <f t="shared" si="1"/>
        <v>40824</v>
      </c>
      <c r="B40" s="15">
        <v>11041173.7</v>
      </c>
      <c r="C40" s="15">
        <v>106983.7</v>
      </c>
      <c r="D40" s="15">
        <f t="shared" si="0"/>
        <v>10092606</v>
      </c>
      <c r="E40" s="15">
        <v>841584</v>
      </c>
      <c r="F40" s="16">
        <v>767</v>
      </c>
      <c r="G40" s="15">
        <v>157</v>
      </c>
    </row>
    <row r="41" spans="1:7" ht="12.75">
      <c r="A41" s="22">
        <f t="shared" si="1"/>
        <v>40831</v>
      </c>
      <c r="B41" s="15">
        <v>11053447.56</v>
      </c>
      <c r="C41" s="15">
        <v>106763.56</v>
      </c>
      <c r="D41" s="15">
        <f t="shared" si="0"/>
        <v>10152189</v>
      </c>
      <c r="E41" s="15">
        <v>794495</v>
      </c>
      <c r="F41" s="16">
        <v>767</v>
      </c>
      <c r="G41" s="15">
        <v>148</v>
      </c>
    </row>
    <row r="42" spans="1:7" ht="12.75">
      <c r="A42" s="22">
        <f t="shared" si="1"/>
        <v>40838</v>
      </c>
      <c r="B42" s="15">
        <v>10260829.34</v>
      </c>
      <c r="C42" s="15">
        <v>98147.34</v>
      </c>
      <c r="D42" s="15">
        <f t="shared" si="0"/>
        <v>9349769</v>
      </c>
      <c r="E42" s="15">
        <v>812913</v>
      </c>
      <c r="F42" s="16">
        <v>767</v>
      </c>
      <c r="G42" s="15">
        <v>151</v>
      </c>
    </row>
    <row r="43" spans="1:7" ht="12.75">
      <c r="A43" s="22">
        <f t="shared" si="1"/>
        <v>40845</v>
      </c>
      <c r="B43" s="15">
        <v>10599791.44</v>
      </c>
      <c r="C43" s="15">
        <f>96882.54-2027.1</f>
        <v>94855.43999999999</v>
      </c>
      <c r="D43" s="15">
        <f t="shared" si="0"/>
        <v>9656944</v>
      </c>
      <c r="E43" s="15">
        <v>847992</v>
      </c>
      <c r="F43" s="16">
        <v>767</v>
      </c>
      <c r="G43" s="15">
        <v>158</v>
      </c>
    </row>
    <row r="44" spans="1:7" ht="12.75">
      <c r="A44" s="22">
        <f t="shared" si="1"/>
        <v>40852</v>
      </c>
      <c r="B44" s="15">
        <v>10563381.75</v>
      </c>
      <c r="C44" s="15">
        <v>82473.75</v>
      </c>
      <c r="D44" s="15">
        <f t="shared" si="0"/>
        <v>9633259</v>
      </c>
      <c r="E44" s="15">
        <v>847649</v>
      </c>
      <c r="F44" s="16">
        <v>767</v>
      </c>
      <c r="G44" s="15">
        <v>158</v>
      </c>
    </row>
    <row r="45" spans="1:7" ht="12.75">
      <c r="A45" s="22">
        <f t="shared" si="1"/>
        <v>40859</v>
      </c>
      <c r="B45" s="15">
        <v>9766773.2</v>
      </c>
      <c r="C45" s="15">
        <v>96635.2</v>
      </c>
      <c r="D45" s="15">
        <f t="shared" si="0"/>
        <v>8895802</v>
      </c>
      <c r="E45" s="15">
        <v>774336</v>
      </c>
      <c r="F45" s="16">
        <v>767</v>
      </c>
      <c r="G45" s="15">
        <v>144</v>
      </c>
    </row>
    <row r="46" spans="1:7" ht="12.75">
      <c r="A46" s="22">
        <f aca="true" t="shared" si="2" ref="A46:A64">+A45+7</f>
        <v>40866</v>
      </c>
      <c r="B46" s="15">
        <v>9300201.55</v>
      </c>
      <c r="C46" s="15">
        <v>88918.55</v>
      </c>
      <c r="D46" s="15">
        <f t="shared" si="0"/>
        <v>8502558</v>
      </c>
      <c r="E46" s="15">
        <v>708725</v>
      </c>
      <c r="F46" s="16">
        <v>767</v>
      </c>
      <c r="G46" s="15">
        <v>132</v>
      </c>
    </row>
    <row r="47" spans="1:7" ht="12.75">
      <c r="A47" s="22">
        <f t="shared" si="2"/>
        <v>40873</v>
      </c>
      <c r="B47" s="15">
        <v>10047716.75</v>
      </c>
      <c r="C47" s="15">
        <v>78799.75</v>
      </c>
      <c r="D47" s="15">
        <f t="shared" si="0"/>
        <v>9200046</v>
      </c>
      <c r="E47" s="15">
        <v>768871</v>
      </c>
      <c r="F47" s="16">
        <v>767</v>
      </c>
      <c r="G47" s="15">
        <v>143</v>
      </c>
    </row>
    <row r="48" spans="1:7" ht="12.75">
      <c r="A48" s="22">
        <f t="shared" si="2"/>
        <v>40880</v>
      </c>
      <c r="B48" s="15">
        <v>8515396.94</v>
      </c>
      <c r="C48" s="15">
        <v>69432.94</v>
      </c>
      <c r="D48" s="15">
        <f t="shared" si="0"/>
        <v>7769528</v>
      </c>
      <c r="E48" s="15">
        <v>676436</v>
      </c>
      <c r="F48" s="16">
        <v>767</v>
      </c>
      <c r="G48" s="15">
        <v>126</v>
      </c>
    </row>
    <row r="49" spans="1:7" ht="12.75">
      <c r="A49" s="22">
        <f t="shared" si="2"/>
        <v>40887</v>
      </c>
      <c r="B49" s="15">
        <v>8229245.71</v>
      </c>
      <c r="C49" s="15">
        <v>83303.71</v>
      </c>
      <c r="D49" s="15">
        <f t="shared" si="0"/>
        <v>7504604</v>
      </c>
      <c r="E49" s="15">
        <v>641338</v>
      </c>
      <c r="F49" s="16">
        <v>767</v>
      </c>
      <c r="G49" s="15">
        <v>119</v>
      </c>
    </row>
    <row r="50" spans="1:7" ht="12.75">
      <c r="A50" s="22">
        <f t="shared" si="2"/>
        <v>40894</v>
      </c>
      <c r="B50" s="15">
        <v>8009831</v>
      </c>
      <c r="C50" s="15">
        <v>74590</v>
      </c>
      <c r="D50" s="15">
        <f t="shared" si="0"/>
        <v>7303693</v>
      </c>
      <c r="E50" s="15">
        <v>631548</v>
      </c>
      <c r="F50" s="16">
        <v>767</v>
      </c>
      <c r="G50" s="15">
        <v>118</v>
      </c>
    </row>
    <row r="51" spans="1:7" ht="12.75">
      <c r="A51" s="22">
        <f t="shared" si="2"/>
        <v>40901</v>
      </c>
      <c r="B51" s="15">
        <v>6344419.04</v>
      </c>
      <c r="C51" s="15">
        <v>58158.04</v>
      </c>
      <c r="D51" s="15">
        <f t="shared" si="0"/>
        <v>5757001</v>
      </c>
      <c r="E51" s="15">
        <v>529260</v>
      </c>
      <c r="F51" s="16">
        <v>767</v>
      </c>
      <c r="G51" s="15">
        <v>99</v>
      </c>
    </row>
    <row r="52" spans="1:7" ht="12.75">
      <c r="A52" s="22">
        <f t="shared" si="2"/>
        <v>40908</v>
      </c>
      <c r="B52" s="15">
        <v>10375796.4</v>
      </c>
      <c r="C52" s="15">
        <v>57833.4</v>
      </c>
      <c r="D52" s="15">
        <f t="shared" si="0"/>
        <v>9481460</v>
      </c>
      <c r="E52" s="15">
        <v>836503</v>
      </c>
      <c r="F52" s="16">
        <v>767</v>
      </c>
      <c r="G52" s="15">
        <v>156</v>
      </c>
    </row>
    <row r="53" spans="1:7" ht="12.75">
      <c r="A53" s="22">
        <f t="shared" si="2"/>
        <v>40915</v>
      </c>
      <c r="B53" s="15">
        <v>9504876.2</v>
      </c>
      <c r="C53" s="15">
        <v>80887.2</v>
      </c>
      <c r="D53" s="15">
        <f t="shared" si="0"/>
        <v>8662423</v>
      </c>
      <c r="E53" s="15">
        <v>761566</v>
      </c>
      <c r="F53" s="16">
        <v>767</v>
      </c>
      <c r="G53" s="15">
        <v>142</v>
      </c>
    </row>
    <row r="54" spans="1:7" ht="12.75">
      <c r="A54" s="22">
        <f t="shared" si="2"/>
        <v>40922</v>
      </c>
      <c r="B54" s="15">
        <v>7652519.14</v>
      </c>
      <c r="C54" s="15">
        <v>72584.14</v>
      </c>
      <c r="D54" s="15">
        <f t="shared" si="0"/>
        <v>6956669</v>
      </c>
      <c r="E54" s="15">
        <v>623266</v>
      </c>
      <c r="F54" s="16">
        <v>767</v>
      </c>
      <c r="G54" s="15">
        <v>116</v>
      </c>
    </row>
    <row r="55" spans="1:7" ht="12.75">
      <c r="A55" s="22">
        <f t="shared" si="2"/>
        <v>40929</v>
      </c>
      <c r="B55" s="15">
        <v>8427666.6</v>
      </c>
      <c r="C55" s="15">
        <v>81935.6</v>
      </c>
      <c r="D55" s="15">
        <f t="shared" si="0"/>
        <v>7675985</v>
      </c>
      <c r="E55" s="15">
        <v>669746</v>
      </c>
      <c r="F55" s="16">
        <v>767</v>
      </c>
      <c r="G55" s="15">
        <v>125</v>
      </c>
    </row>
    <row r="56" spans="1:7" ht="12.75">
      <c r="A56" s="22">
        <f t="shared" si="2"/>
        <v>40936</v>
      </c>
      <c r="B56" s="15">
        <v>9002791.79</v>
      </c>
      <c r="C56" s="15">
        <v>83032.79</v>
      </c>
      <c r="D56" s="15">
        <f t="shared" si="0"/>
        <v>8235239</v>
      </c>
      <c r="E56" s="15">
        <v>684520</v>
      </c>
      <c r="F56" s="16">
        <v>767</v>
      </c>
      <c r="G56" s="15">
        <v>127</v>
      </c>
    </row>
    <row r="57" spans="1:7" ht="12.75">
      <c r="A57" s="22">
        <f t="shared" si="2"/>
        <v>40943</v>
      </c>
      <c r="B57" s="15">
        <v>10053942.36</v>
      </c>
      <c r="C57" s="15">
        <v>72036.36</v>
      </c>
      <c r="D57" s="15">
        <f t="shared" si="0"/>
        <v>9190347</v>
      </c>
      <c r="E57" s="15">
        <v>791559</v>
      </c>
      <c r="F57" s="16">
        <v>767</v>
      </c>
      <c r="G57" s="15">
        <v>147</v>
      </c>
    </row>
    <row r="58" spans="1:7" ht="12.75">
      <c r="A58" s="22">
        <f t="shared" si="2"/>
        <v>40950</v>
      </c>
      <c r="B58" s="15">
        <v>10285258.64</v>
      </c>
      <c r="C58" s="15">
        <v>76227.64</v>
      </c>
      <c r="D58" s="15">
        <f t="shared" si="0"/>
        <v>9332675</v>
      </c>
      <c r="E58" s="15">
        <v>876356</v>
      </c>
      <c r="F58" s="16">
        <v>767</v>
      </c>
      <c r="G58" s="15">
        <v>163</v>
      </c>
    </row>
    <row r="59" spans="1:7" ht="12.75">
      <c r="A59" s="22">
        <f t="shared" si="2"/>
        <v>40957</v>
      </c>
      <c r="B59" s="15">
        <v>9818020.62</v>
      </c>
      <c r="C59" s="15">
        <v>69754.62</v>
      </c>
      <c r="D59" s="15">
        <f t="shared" si="0"/>
        <v>8952451</v>
      </c>
      <c r="E59" s="15">
        <v>795815</v>
      </c>
      <c r="F59" s="16">
        <v>767</v>
      </c>
      <c r="G59" s="15">
        <v>148</v>
      </c>
    </row>
    <row r="60" spans="1:7" ht="12.75">
      <c r="A60" s="22">
        <f t="shared" si="2"/>
        <v>40964</v>
      </c>
      <c r="B60" s="15">
        <v>10206883.1</v>
      </c>
      <c r="C60" s="15">
        <v>75334.1</v>
      </c>
      <c r="D60" s="15">
        <f t="shared" si="0"/>
        <v>9288985</v>
      </c>
      <c r="E60" s="15">
        <v>842564</v>
      </c>
      <c r="F60" s="16">
        <v>767</v>
      </c>
      <c r="G60" s="15">
        <v>157</v>
      </c>
    </row>
    <row r="61" spans="1:7" ht="12.75">
      <c r="A61" s="22">
        <f t="shared" si="2"/>
        <v>40971</v>
      </c>
      <c r="B61" s="15">
        <v>10282704.72</v>
      </c>
      <c r="C61" s="15">
        <v>60970.72</v>
      </c>
      <c r="D61" s="15">
        <f t="shared" si="0"/>
        <v>9362516</v>
      </c>
      <c r="E61" s="15">
        <v>859218</v>
      </c>
      <c r="F61" s="16">
        <v>767</v>
      </c>
      <c r="G61" s="15">
        <v>160</v>
      </c>
    </row>
    <row r="62" spans="1:7" ht="12.75">
      <c r="A62" s="22">
        <f t="shared" si="2"/>
        <v>40978</v>
      </c>
      <c r="B62" s="15">
        <v>9938871.99</v>
      </c>
      <c r="C62" s="15">
        <v>56644.99</v>
      </c>
      <c r="D62" s="15">
        <f t="shared" si="0"/>
        <v>9092563</v>
      </c>
      <c r="E62" s="15">
        <v>789664</v>
      </c>
      <c r="F62" s="16">
        <v>767</v>
      </c>
      <c r="G62" s="15">
        <v>147</v>
      </c>
    </row>
    <row r="63" spans="1:7" ht="12.75">
      <c r="A63" s="22">
        <f t="shared" si="2"/>
        <v>40985</v>
      </c>
      <c r="B63" s="15">
        <v>10463619.07</v>
      </c>
      <c r="C63" s="15">
        <v>58060.07</v>
      </c>
      <c r="D63" s="15">
        <f t="shared" si="0"/>
        <v>9507989</v>
      </c>
      <c r="E63" s="15">
        <v>897570</v>
      </c>
      <c r="F63" s="16">
        <v>767</v>
      </c>
      <c r="G63" s="15">
        <v>167</v>
      </c>
    </row>
    <row r="64" spans="1:7" ht="12.75">
      <c r="A64" s="22">
        <f t="shared" si="2"/>
        <v>40992</v>
      </c>
      <c r="B64" s="15">
        <v>9043797.45</v>
      </c>
      <c r="C64" s="15">
        <v>53295.45</v>
      </c>
      <c r="D64" s="15">
        <f t="shared" si="0"/>
        <v>8202553</v>
      </c>
      <c r="E64" s="15">
        <v>787949</v>
      </c>
      <c r="F64" s="16">
        <v>767</v>
      </c>
      <c r="G64" s="15">
        <v>147</v>
      </c>
    </row>
    <row r="65" ht="12.75">
      <c r="A65" s="22"/>
    </row>
    <row r="66" spans="1:7" ht="13.5" thickBot="1">
      <c r="A66" s="3" t="s">
        <v>8</v>
      </c>
      <c r="B66" s="17">
        <f>SUM(B13:B64)</f>
        <v>538541077.278</v>
      </c>
      <c r="C66" s="17">
        <f>SUM(C13:C64)</f>
        <v>4136659.278000001</v>
      </c>
      <c r="D66" s="17">
        <f>SUM(D13:D64)</f>
        <v>491479639</v>
      </c>
      <c r="E66" s="17">
        <f>SUM(E13:E64)</f>
        <v>42924779</v>
      </c>
      <c r="F66" s="23">
        <f>SUM(F13:F64)/COUNT(F13:F64)</f>
        <v>764.8653846153846</v>
      </c>
      <c r="G66" s="17">
        <f>+E66/SUM(F13:F64)/7</f>
        <v>154.17774082202212</v>
      </c>
    </row>
    <row r="67" spans="1:5" s="21" customFormat="1" ht="13.5" thickTop="1">
      <c r="A67" s="19"/>
      <c r="B67" s="20"/>
      <c r="C67" s="20"/>
      <c r="D67" s="20"/>
      <c r="E67" s="20"/>
    </row>
  </sheetData>
  <sheetProtection/>
  <mergeCells count="6">
    <mergeCell ref="A5:G5"/>
    <mergeCell ref="A8:G8"/>
    <mergeCell ref="A1:G1"/>
    <mergeCell ref="A2:G2"/>
    <mergeCell ref="A3:G3"/>
    <mergeCell ref="A4:G4"/>
  </mergeCells>
  <hyperlinks>
    <hyperlink ref="A4" r:id="rId1" display="www.vernondowns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15.7109375" style="3" customWidth="1"/>
    <col min="2" max="4" width="15.7109375" style="15" customWidth="1"/>
    <col min="5" max="5" width="15.7109375" style="16" customWidth="1"/>
    <col min="6" max="6" width="15.7109375" style="15" customWidth="1"/>
  </cols>
  <sheetData>
    <row r="1" spans="1:10" ht="18">
      <c r="A1" s="71" t="s">
        <v>19</v>
      </c>
      <c r="B1" s="71"/>
      <c r="C1" s="71"/>
      <c r="D1" s="71"/>
      <c r="E1" s="71"/>
      <c r="F1" s="71"/>
      <c r="G1" s="25"/>
      <c r="H1" s="25"/>
      <c r="I1" s="25"/>
      <c r="J1" s="25"/>
    </row>
    <row r="2" spans="1:10" ht="15">
      <c r="A2" s="72" t="s">
        <v>15</v>
      </c>
      <c r="B2" s="72"/>
      <c r="C2" s="72"/>
      <c r="D2" s="72"/>
      <c r="E2" s="72"/>
      <c r="F2" s="72"/>
      <c r="G2" s="26"/>
      <c r="H2" s="26"/>
      <c r="I2" s="26"/>
      <c r="J2" s="26"/>
    </row>
    <row r="3" spans="1:10" s="1" customFormat="1" ht="15">
      <c r="A3" s="72" t="s">
        <v>16</v>
      </c>
      <c r="B3" s="72"/>
      <c r="C3" s="72"/>
      <c r="D3" s="72"/>
      <c r="E3" s="72"/>
      <c r="F3" s="72"/>
      <c r="G3" s="26"/>
      <c r="H3" s="26"/>
      <c r="I3" s="26"/>
      <c r="J3" s="26"/>
    </row>
    <row r="4" spans="1:10" s="1" customFormat="1" ht="14.25" customHeight="1">
      <c r="A4" s="63" t="s">
        <v>17</v>
      </c>
      <c r="B4" s="63"/>
      <c r="C4" s="63"/>
      <c r="D4" s="63"/>
      <c r="E4" s="63"/>
      <c r="F4" s="63"/>
      <c r="G4" s="27"/>
      <c r="H4" s="27"/>
      <c r="I4" s="27"/>
      <c r="J4" s="27"/>
    </row>
    <row r="5" spans="1:10" s="1" customFormat="1" ht="14.25">
      <c r="A5" s="73" t="s">
        <v>18</v>
      </c>
      <c r="B5" s="73"/>
      <c r="C5" s="73"/>
      <c r="D5" s="73"/>
      <c r="E5" s="73"/>
      <c r="F5" s="73"/>
      <c r="G5" s="28"/>
      <c r="H5" s="28"/>
      <c r="I5" s="28"/>
      <c r="J5" s="28"/>
    </row>
    <row r="6" spans="1:10" s="1" customFormat="1" ht="14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6" s="1" customFormat="1" ht="12.75">
      <c r="A7" s="3"/>
      <c r="B7" s="4"/>
      <c r="C7" s="4"/>
      <c r="D7" s="5"/>
      <c r="E7" s="6"/>
      <c r="F7" s="5"/>
    </row>
    <row r="8" spans="1:6" s="7" customFormat="1" ht="14.25" customHeight="1">
      <c r="A8" s="68" t="s">
        <v>20</v>
      </c>
      <c r="B8" s="69"/>
      <c r="C8" s="69"/>
      <c r="D8" s="69"/>
      <c r="E8" s="69"/>
      <c r="F8" s="70"/>
    </row>
    <row r="9" spans="1:6" s="1" customFormat="1" ht="9" customHeight="1">
      <c r="A9" s="3"/>
      <c r="B9" s="4"/>
      <c r="C9" s="4"/>
      <c r="D9" s="5"/>
      <c r="E9" s="6"/>
      <c r="F9" s="5"/>
    </row>
    <row r="10" spans="1:6" s="12" customFormat="1" ht="12">
      <c r="A10" s="9"/>
      <c r="B10" s="10" t="s">
        <v>0</v>
      </c>
      <c r="C10" s="10" t="s">
        <v>0</v>
      </c>
      <c r="D10" s="10"/>
      <c r="E10" s="11" t="s">
        <v>1</v>
      </c>
      <c r="F10" s="10" t="s">
        <v>2</v>
      </c>
    </row>
    <row r="11" spans="1:6" s="12" customFormat="1" ht="12">
      <c r="A11" s="13" t="s">
        <v>11</v>
      </c>
      <c r="B11" s="8" t="s">
        <v>3</v>
      </c>
      <c r="C11" s="8" t="s">
        <v>4</v>
      </c>
      <c r="D11" s="8" t="s">
        <v>5</v>
      </c>
      <c r="E11" s="14" t="s">
        <v>6</v>
      </c>
      <c r="F11" s="8" t="s">
        <v>7</v>
      </c>
    </row>
    <row r="13" spans="1:6" ht="12.75">
      <c r="A13" s="22">
        <v>40271</v>
      </c>
      <c r="B13" s="15">
        <v>8448838</v>
      </c>
      <c r="C13" s="15">
        <f aca="true" t="shared" si="0" ref="C13:C64">+B13-D13</f>
        <v>7676090</v>
      </c>
      <c r="D13" s="15">
        <v>772748</v>
      </c>
      <c r="E13" s="16">
        <v>761</v>
      </c>
      <c r="F13" s="15">
        <v>145</v>
      </c>
    </row>
    <row r="14" spans="1:6" ht="12.75">
      <c r="A14" s="22">
        <f>+A13+7</f>
        <v>40278</v>
      </c>
      <c r="B14" s="15">
        <v>9292523</v>
      </c>
      <c r="C14" s="15">
        <f t="shared" si="0"/>
        <v>8445844</v>
      </c>
      <c r="D14" s="15">
        <v>846679</v>
      </c>
      <c r="E14" s="16">
        <v>761</v>
      </c>
      <c r="F14" s="15">
        <v>159</v>
      </c>
    </row>
    <row r="15" spans="1:6" ht="12.75">
      <c r="A15" s="22">
        <f aca="true" t="shared" si="1" ref="A15:A64">+A14+7</f>
        <v>40285</v>
      </c>
      <c r="B15" s="15">
        <v>9082755</v>
      </c>
      <c r="C15" s="15">
        <f t="shared" si="0"/>
        <v>8226002</v>
      </c>
      <c r="D15" s="15">
        <v>856753</v>
      </c>
      <c r="E15" s="16">
        <v>761</v>
      </c>
      <c r="F15" s="15">
        <v>161</v>
      </c>
    </row>
    <row r="16" spans="1:6" ht="12.75">
      <c r="A16" s="22">
        <f t="shared" si="1"/>
        <v>40292</v>
      </c>
      <c r="B16" s="15">
        <v>9106009</v>
      </c>
      <c r="C16" s="15">
        <f t="shared" si="0"/>
        <v>8251096</v>
      </c>
      <c r="D16" s="15">
        <v>854913</v>
      </c>
      <c r="E16" s="16">
        <v>761</v>
      </c>
      <c r="F16" s="15">
        <v>160</v>
      </c>
    </row>
    <row r="17" spans="1:6" ht="12.75">
      <c r="A17" s="22">
        <f t="shared" si="1"/>
        <v>40299</v>
      </c>
      <c r="B17" s="15">
        <v>9006415</v>
      </c>
      <c r="C17" s="15">
        <f t="shared" si="0"/>
        <v>8172900</v>
      </c>
      <c r="D17" s="15">
        <v>833515</v>
      </c>
      <c r="E17" s="16">
        <v>761</v>
      </c>
      <c r="F17" s="15">
        <v>156</v>
      </c>
    </row>
    <row r="18" spans="1:6" ht="12.75">
      <c r="A18" s="22">
        <f t="shared" si="1"/>
        <v>40306</v>
      </c>
      <c r="B18" s="15">
        <v>9179263</v>
      </c>
      <c r="C18" s="15">
        <f t="shared" si="0"/>
        <v>8359815</v>
      </c>
      <c r="D18" s="15">
        <v>819448</v>
      </c>
      <c r="E18" s="16">
        <v>761</v>
      </c>
      <c r="F18" s="15">
        <v>154</v>
      </c>
    </row>
    <row r="19" spans="1:6" ht="12.75">
      <c r="A19" s="22">
        <f t="shared" si="1"/>
        <v>40313</v>
      </c>
      <c r="B19" s="15">
        <v>9188430</v>
      </c>
      <c r="C19" s="15">
        <f t="shared" si="0"/>
        <v>8356813</v>
      </c>
      <c r="D19" s="15">
        <v>831617</v>
      </c>
      <c r="E19" s="16">
        <v>761</v>
      </c>
      <c r="F19" s="15">
        <v>156</v>
      </c>
    </row>
    <row r="20" spans="1:6" ht="12.75">
      <c r="A20" s="22">
        <f t="shared" si="1"/>
        <v>40320</v>
      </c>
      <c r="B20" s="15">
        <v>8230303</v>
      </c>
      <c r="C20" s="15">
        <f t="shared" si="0"/>
        <v>7495915</v>
      </c>
      <c r="D20" s="15">
        <v>734388</v>
      </c>
      <c r="E20" s="16">
        <v>761</v>
      </c>
      <c r="F20" s="15">
        <v>138</v>
      </c>
    </row>
    <row r="21" spans="1:6" ht="12.75">
      <c r="A21" s="22">
        <f t="shared" si="1"/>
        <v>40327</v>
      </c>
      <c r="B21" s="15">
        <v>8758748</v>
      </c>
      <c r="C21" s="15">
        <f t="shared" si="0"/>
        <v>7922166</v>
      </c>
      <c r="D21" s="15">
        <v>836582</v>
      </c>
      <c r="E21" s="16">
        <v>761</v>
      </c>
      <c r="F21" s="15">
        <v>157</v>
      </c>
    </row>
    <row r="22" spans="1:6" ht="12.75">
      <c r="A22" s="22">
        <f t="shared" si="1"/>
        <v>40334</v>
      </c>
      <c r="B22" s="15">
        <v>9555862</v>
      </c>
      <c r="C22" s="15">
        <f t="shared" si="0"/>
        <v>8646901</v>
      </c>
      <c r="D22" s="15">
        <v>908961</v>
      </c>
      <c r="E22" s="16">
        <v>761</v>
      </c>
      <c r="F22" s="15">
        <v>171</v>
      </c>
    </row>
    <row r="23" spans="1:6" ht="12.75">
      <c r="A23" s="22">
        <f t="shared" si="1"/>
        <v>40341</v>
      </c>
      <c r="B23" s="15">
        <v>8741890</v>
      </c>
      <c r="C23" s="15">
        <f t="shared" si="0"/>
        <v>7940398</v>
      </c>
      <c r="D23" s="15">
        <v>801492</v>
      </c>
      <c r="E23" s="16">
        <v>761</v>
      </c>
      <c r="F23" s="15">
        <v>150</v>
      </c>
    </row>
    <row r="24" spans="1:6" ht="12.75">
      <c r="A24" s="22">
        <f t="shared" si="1"/>
        <v>40348</v>
      </c>
      <c r="B24" s="15">
        <v>9017030</v>
      </c>
      <c r="C24" s="15">
        <f t="shared" si="0"/>
        <v>8186432</v>
      </c>
      <c r="D24" s="15">
        <v>830598</v>
      </c>
      <c r="E24" s="16">
        <v>761</v>
      </c>
      <c r="F24" s="15">
        <v>156</v>
      </c>
    </row>
    <row r="25" spans="1:6" ht="12.75">
      <c r="A25" s="22">
        <f t="shared" si="1"/>
        <v>40355</v>
      </c>
      <c r="B25" s="15">
        <v>8994548</v>
      </c>
      <c r="C25" s="15">
        <f t="shared" si="0"/>
        <v>8214352</v>
      </c>
      <c r="D25" s="15">
        <v>780196</v>
      </c>
      <c r="E25" s="16">
        <v>761</v>
      </c>
      <c r="F25" s="15">
        <v>146</v>
      </c>
    </row>
    <row r="26" spans="1:6" ht="12.75">
      <c r="A26" s="22">
        <f t="shared" si="1"/>
        <v>40362</v>
      </c>
      <c r="B26" s="15">
        <v>9805863</v>
      </c>
      <c r="C26" s="15">
        <f t="shared" si="0"/>
        <v>8929711</v>
      </c>
      <c r="D26" s="15">
        <v>876152</v>
      </c>
      <c r="E26" s="16">
        <v>761</v>
      </c>
      <c r="F26" s="15">
        <v>164</v>
      </c>
    </row>
    <row r="27" spans="1:6" ht="12.75">
      <c r="A27" s="22">
        <f t="shared" si="1"/>
        <v>40369</v>
      </c>
      <c r="B27" s="15">
        <v>10490422</v>
      </c>
      <c r="C27" s="15">
        <f t="shared" si="0"/>
        <v>9527174</v>
      </c>
      <c r="D27" s="15">
        <v>963248</v>
      </c>
      <c r="E27" s="16">
        <v>761</v>
      </c>
      <c r="F27" s="15">
        <v>181</v>
      </c>
    </row>
    <row r="28" spans="1:6" ht="12.75">
      <c r="A28" s="22">
        <f t="shared" si="1"/>
        <v>40376</v>
      </c>
      <c r="B28" s="15">
        <v>9868661</v>
      </c>
      <c r="C28" s="15">
        <f t="shared" si="0"/>
        <v>8969250</v>
      </c>
      <c r="D28" s="15">
        <v>899411</v>
      </c>
      <c r="E28" s="16">
        <v>761</v>
      </c>
      <c r="F28" s="15">
        <v>169</v>
      </c>
    </row>
    <row r="29" spans="1:6" ht="12.75">
      <c r="A29" s="22">
        <f t="shared" si="1"/>
        <v>40383</v>
      </c>
      <c r="B29" s="15">
        <v>9242082</v>
      </c>
      <c r="C29" s="15">
        <f t="shared" si="0"/>
        <v>8391586</v>
      </c>
      <c r="D29" s="15">
        <v>850496</v>
      </c>
      <c r="E29" s="16">
        <v>761</v>
      </c>
      <c r="F29" s="15">
        <v>160</v>
      </c>
    </row>
    <row r="30" spans="1:6" ht="12.75">
      <c r="A30" s="22">
        <f t="shared" si="1"/>
        <v>40390</v>
      </c>
      <c r="B30" s="15">
        <v>10323790</v>
      </c>
      <c r="C30" s="15">
        <f t="shared" si="0"/>
        <v>9386648</v>
      </c>
      <c r="D30" s="15">
        <v>937142</v>
      </c>
      <c r="E30" s="16">
        <v>761</v>
      </c>
      <c r="F30" s="15">
        <v>176</v>
      </c>
    </row>
    <row r="31" spans="1:6" ht="12.75">
      <c r="A31" s="22">
        <f t="shared" si="1"/>
        <v>40397</v>
      </c>
      <c r="B31" s="15">
        <v>10271880</v>
      </c>
      <c r="C31" s="15">
        <f t="shared" si="0"/>
        <v>9354686</v>
      </c>
      <c r="D31" s="15">
        <v>917194</v>
      </c>
      <c r="E31" s="16">
        <v>761</v>
      </c>
      <c r="F31" s="15">
        <v>172</v>
      </c>
    </row>
    <row r="32" spans="1:6" ht="12.75">
      <c r="A32" s="22">
        <f t="shared" si="1"/>
        <v>40404</v>
      </c>
      <c r="B32" s="15">
        <v>9484760</v>
      </c>
      <c r="C32" s="15">
        <f t="shared" si="0"/>
        <v>8643974</v>
      </c>
      <c r="D32" s="15">
        <v>840786</v>
      </c>
      <c r="E32" s="16">
        <v>761</v>
      </c>
      <c r="F32" s="15">
        <v>158</v>
      </c>
    </row>
    <row r="33" spans="1:6" ht="12.75">
      <c r="A33" s="22">
        <f t="shared" si="1"/>
        <v>40411</v>
      </c>
      <c r="B33" s="15">
        <v>9890222</v>
      </c>
      <c r="C33" s="15">
        <f t="shared" si="0"/>
        <v>8998056</v>
      </c>
      <c r="D33" s="15">
        <v>892166</v>
      </c>
      <c r="E33" s="16">
        <v>761</v>
      </c>
      <c r="F33" s="15">
        <v>167</v>
      </c>
    </row>
    <row r="34" spans="1:6" ht="12.75">
      <c r="A34" s="22">
        <f t="shared" si="1"/>
        <v>40418</v>
      </c>
      <c r="B34" s="15">
        <v>9823046</v>
      </c>
      <c r="C34" s="15">
        <f t="shared" si="0"/>
        <v>8946900</v>
      </c>
      <c r="D34" s="15">
        <v>876146</v>
      </c>
      <c r="E34" s="16">
        <v>761</v>
      </c>
      <c r="F34" s="15">
        <v>164</v>
      </c>
    </row>
    <row r="35" spans="1:6" ht="12.75">
      <c r="A35" s="22">
        <f t="shared" si="1"/>
        <v>40425</v>
      </c>
      <c r="B35" s="15">
        <v>10478357</v>
      </c>
      <c r="C35" s="15">
        <f t="shared" si="0"/>
        <v>9494321</v>
      </c>
      <c r="D35" s="15">
        <v>984036</v>
      </c>
      <c r="E35" s="16">
        <v>761</v>
      </c>
      <c r="F35" s="15">
        <v>185</v>
      </c>
    </row>
    <row r="36" spans="1:6" ht="12.75">
      <c r="A36" s="22">
        <f t="shared" si="1"/>
        <v>40432</v>
      </c>
      <c r="B36" s="15">
        <v>10531936</v>
      </c>
      <c r="C36" s="15">
        <f t="shared" si="0"/>
        <v>9560009</v>
      </c>
      <c r="D36" s="15">
        <v>971927</v>
      </c>
      <c r="E36" s="16">
        <v>761</v>
      </c>
      <c r="F36" s="15">
        <v>182</v>
      </c>
    </row>
    <row r="37" spans="1:6" ht="12.75">
      <c r="A37" s="22">
        <f t="shared" si="1"/>
        <v>40439</v>
      </c>
      <c r="B37" s="15">
        <v>9277496</v>
      </c>
      <c r="C37" s="15">
        <f t="shared" si="0"/>
        <v>8472783</v>
      </c>
      <c r="D37" s="15">
        <v>804713</v>
      </c>
      <c r="E37" s="16">
        <v>761</v>
      </c>
      <c r="F37" s="15">
        <v>151</v>
      </c>
    </row>
    <row r="38" spans="1:6" ht="12.75">
      <c r="A38" s="22">
        <f t="shared" si="1"/>
        <v>40446</v>
      </c>
      <c r="B38" s="15">
        <v>9093764</v>
      </c>
      <c r="C38" s="15">
        <f t="shared" si="0"/>
        <v>8287427</v>
      </c>
      <c r="D38" s="15">
        <v>806337</v>
      </c>
      <c r="E38" s="16">
        <v>761</v>
      </c>
      <c r="F38" s="15">
        <v>151</v>
      </c>
    </row>
    <row r="39" spans="1:6" ht="12.75">
      <c r="A39" s="22">
        <f t="shared" si="1"/>
        <v>40453</v>
      </c>
      <c r="B39" s="15">
        <v>9346434</v>
      </c>
      <c r="C39" s="15">
        <f t="shared" si="0"/>
        <v>8486342</v>
      </c>
      <c r="D39" s="15">
        <v>860092</v>
      </c>
      <c r="E39" s="16">
        <v>761</v>
      </c>
      <c r="F39" s="15">
        <v>161</v>
      </c>
    </row>
    <row r="40" spans="1:6" ht="12.75">
      <c r="A40" s="22">
        <f t="shared" si="1"/>
        <v>40460</v>
      </c>
      <c r="B40" s="15">
        <v>8984229</v>
      </c>
      <c r="C40" s="15">
        <f t="shared" si="0"/>
        <v>8196248</v>
      </c>
      <c r="D40" s="15">
        <v>787981</v>
      </c>
      <c r="E40" s="16">
        <v>761</v>
      </c>
      <c r="F40" s="15">
        <v>148</v>
      </c>
    </row>
    <row r="41" spans="1:6" ht="12.75">
      <c r="A41" s="22">
        <f t="shared" si="1"/>
        <v>40467</v>
      </c>
      <c r="B41" s="15">
        <v>9018170</v>
      </c>
      <c r="C41" s="15">
        <f t="shared" si="0"/>
        <v>8237302</v>
      </c>
      <c r="D41" s="15">
        <v>780868</v>
      </c>
      <c r="E41" s="16">
        <v>761</v>
      </c>
      <c r="F41" s="15">
        <v>147</v>
      </c>
    </row>
    <row r="42" spans="1:6" ht="12.75">
      <c r="A42" s="22">
        <f t="shared" si="1"/>
        <v>40474</v>
      </c>
      <c r="B42" s="15">
        <v>8877224</v>
      </c>
      <c r="C42" s="15">
        <f t="shared" si="0"/>
        <v>8121838</v>
      </c>
      <c r="D42" s="15">
        <v>755386</v>
      </c>
      <c r="E42" s="16">
        <v>761</v>
      </c>
      <c r="F42" s="15">
        <v>142</v>
      </c>
    </row>
    <row r="43" spans="1:6" ht="12.75">
      <c r="A43" s="22">
        <f t="shared" si="1"/>
        <v>40481</v>
      </c>
      <c r="B43" s="15">
        <v>9135329</v>
      </c>
      <c r="C43" s="15">
        <f t="shared" si="0"/>
        <v>8280904</v>
      </c>
      <c r="D43" s="15">
        <v>854425</v>
      </c>
      <c r="E43" s="16">
        <v>761</v>
      </c>
      <c r="F43" s="15">
        <v>160</v>
      </c>
    </row>
    <row r="44" spans="1:6" ht="12.75">
      <c r="A44" s="22">
        <f t="shared" si="1"/>
        <v>40488</v>
      </c>
      <c r="B44" s="15">
        <v>8827760</v>
      </c>
      <c r="C44" s="15">
        <f t="shared" si="0"/>
        <v>8028577</v>
      </c>
      <c r="D44" s="15">
        <v>799183</v>
      </c>
      <c r="E44" s="16">
        <v>761</v>
      </c>
      <c r="F44" s="15">
        <v>150</v>
      </c>
    </row>
    <row r="45" spans="1:6" ht="12.75">
      <c r="A45" s="22">
        <f t="shared" si="1"/>
        <v>40495</v>
      </c>
      <c r="B45" s="15">
        <v>9042461</v>
      </c>
      <c r="C45" s="15">
        <f t="shared" si="0"/>
        <v>8221117</v>
      </c>
      <c r="D45" s="15">
        <v>821344</v>
      </c>
      <c r="E45" s="16">
        <v>761</v>
      </c>
      <c r="F45" s="15">
        <v>154</v>
      </c>
    </row>
    <row r="46" spans="1:6" ht="12.75">
      <c r="A46" s="22">
        <f t="shared" si="1"/>
        <v>40502</v>
      </c>
      <c r="B46" s="15">
        <v>7803657</v>
      </c>
      <c r="C46" s="15">
        <f t="shared" si="0"/>
        <v>7161402</v>
      </c>
      <c r="D46" s="15">
        <v>642255</v>
      </c>
      <c r="E46" s="16">
        <v>761</v>
      </c>
      <c r="F46" s="15">
        <v>121</v>
      </c>
    </row>
    <row r="47" spans="1:6" ht="12.75">
      <c r="A47" s="22">
        <f t="shared" si="1"/>
        <v>40509</v>
      </c>
      <c r="B47" s="15">
        <v>8625312</v>
      </c>
      <c r="C47" s="15">
        <f t="shared" si="0"/>
        <v>7837453</v>
      </c>
      <c r="D47" s="15">
        <v>787859</v>
      </c>
      <c r="E47" s="16">
        <v>761</v>
      </c>
      <c r="F47" s="15">
        <v>148</v>
      </c>
    </row>
    <row r="48" spans="1:6" ht="12.75">
      <c r="A48" s="22">
        <f t="shared" si="1"/>
        <v>40516</v>
      </c>
      <c r="B48" s="15">
        <v>7053872</v>
      </c>
      <c r="C48" s="15">
        <f t="shared" si="0"/>
        <v>6484441</v>
      </c>
      <c r="D48" s="15">
        <v>569431</v>
      </c>
      <c r="E48" s="16">
        <v>761</v>
      </c>
      <c r="F48" s="15">
        <v>107</v>
      </c>
    </row>
    <row r="49" spans="1:6" ht="12.75">
      <c r="A49" s="22">
        <f t="shared" si="1"/>
        <v>40523</v>
      </c>
      <c r="B49" s="15">
        <v>5268450</v>
      </c>
      <c r="C49" s="15">
        <f t="shared" si="0"/>
        <v>4800823</v>
      </c>
      <c r="D49" s="15">
        <v>467627</v>
      </c>
      <c r="E49" s="16">
        <v>761</v>
      </c>
      <c r="F49" s="15">
        <v>88</v>
      </c>
    </row>
    <row r="50" spans="1:6" ht="12.75">
      <c r="A50" s="22">
        <f t="shared" si="1"/>
        <v>40530</v>
      </c>
      <c r="B50" s="15">
        <v>5283278</v>
      </c>
      <c r="C50" s="15">
        <f t="shared" si="0"/>
        <v>4813194</v>
      </c>
      <c r="D50" s="15">
        <v>470084</v>
      </c>
      <c r="E50" s="16">
        <v>761</v>
      </c>
      <c r="F50" s="15">
        <v>88</v>
      </c>
    </row>
    <row r="51" spans="1:6" ht="12.75">
      <c r="A51" s="22">
        <f t="shared" si="1"/>
        <v>40537</v>
      </c>
      <c r="B51" s="15">
        <v>5080550</v>
      </c>
      <c r="C51" s="15">
        <f t="shared" si="0"/>
        <v>4631184</v>
      </c>
      <c r="D51" s="15">
        <v>449366</v>
      </c>
      <c r="E51" s="16">
        <v>761</v>
      </c>
      <c r="F51" s="15">
        <v>84</v>
      </c>
    </row>
    <row r="52" spans="1:6" ht="12.75">
      <c r="A52" s="22">
        <f t="shared" si="1"/>
        <v>40544</v>
      </c>
      <c r="B52" s="15">
        <v>10948612</v>
      </c>
      <c r="C52" s="15">
        <f t="shared" si="0"/>
        <v>9894019</v>
      </c>
      <c r="D52" s="15">
        <v>1054593</v>
      </c>
      <c r="E52" s="16">
        <v>761</v>
      </c>
      <c r="F52" s="15">
        <v>198</v>
      </c>
    </row>
    <row r="53" spans="1:6" ht="12.75">
      <c r="A53" s="22">
        <f t="shared" si="1"/>
        <v>40551</v>
      </c>
      <c r="B53" s="15">
        <v>7122299</v>
      </c>
      <c r="C53" s="15">
        <f t="shared" si="0"/>
        <v>6460597</v>
      </c>
      <c r="D53" s="15">
        <v>661702</v>
      </c>
      <c r="E53" s="16">
        <v>761</v>
      </c>
      <c r="F53" s="15">
        <v>124</v>
      </c>
    </row>
    <row r="54" spans="1:6" ht="12.75">
      <c r="A54" s="22">
        <f t="shared" si="1"/>
        <v>40558</v>
      </c>
      <c r="B54" s="15">
        <v>5934884</v>
      </c>
      <c r="C54" s="15">
        <f t="shared" si="0"/>
        <v>5431701</v>
      </c>
      <c r="D54" s="15">
        <v>503183</v>
      </c>
      <c r="E54" s="16">
        <v>761</v>
      </c>
      <c r="F54" s="15">
        <v>94</v>
      </c>
    </row>
    <row r="55" spans="1:6" ht="12.75">
      <c r="A55" s="22">
        <f t="shared" si="1"/>
        <v>40565</v>
      </c>
      <c r="B55" s="15">
        <v>6574206</v>
      </c>
      <c r="C55" s="15">
        <f t="shared" si="0"/>
        <v>5997964</v>
      </c>
      <c r="D55" s="15">
        <v>576242</v>
      </c>
      <c r="E55" s="16">
        <v>761</v>
      </c>
      <c r="F55" s="15">
        <v>108</v>
      </c>
    </row>
    <row r="56" spans="1:6" ht="12.75">
      <c r="A56" s="22">
        <f t="shared" si="1"/>
        <v>40572</v>
      </c>
      <c r="B56" s="15">
        <v>7077094</v>
      </c>
      <c r="C56" s="15">
        <f t="shared" si="0"/>
        <v>6443378</v>
      </c>
      <c r="D56" s="15">
        <v>633716</v>
      </c>
      <c r="E56" s="16">
        <v>761</v>
      </c>
      <c r="F56" s="15">
        <v>119</v>
      </c>
    </row>
    <row r="57" spans="1:6" ht="12.75">
      <c r="A57" s="22">
        <f t="shared" si="1"/>
        <v>40579</v>
      </c>
      <c r="B57" s="15">
        <v>6881947</v>
      </c>
      <c r="C57" s="15">
        <f t="shared" si="0"/>
        <v>6258660</v>
      </c>
      <c r="D57" s="15">
        <v>623287</v>
      </c>
      <c r="E57" s="16">
        <v>761</v>
      </c>
      <c r="F57" s="15">
        <v>117</v>
      </c>
    </row>
    <row r="58" spans="1:6" ht="12.75">
      <c r="A58" s="22">
        <f t="shared" si="1"/>
        <v>40586</v>
      </c>
      <c r="B58" s="15">
        <v>7784961</v>
      </c>
      <c r="C58" s="15">
        <f t="shared" si="0"/>
        <v>7082270</v>
      </c>
      <c r="D58" s="15">
        <v>702691</v>
      </c>
      <c r="E58" s="16">
        <v>761</v>
      </c>
      <c r="F58" s="15">
        <v>132</v>
      </c>
    </row>
    <row r="59" spans="1:6" ht="12.75">
      <c r="A59" s="22">
        <f t="shared" si="1"/>
        <v>40593</v>
      </c>
      <c r="B59" s="15">
        <v>8525221</v>
      </c>
      <c r="C59" s="15">
        <f t="shared" si="0"/>
        <v>7735859</v>
      </c>
      <c r="D59" s="15">
        <v>789362</v>
      </c>
      <c r="E59" s="16">
        <v>761</v>
      </c>
      <c r="F59" s="15">
        <v>148</v>
      </c>
    </row>
    <row r="60" spans="1:6" ht="12.75">
      <c r="A60" s="22">
        <f t="shared" si="1"/>
        <v>40600</v>
      </c>
      <c r="B60" s="15">
        <v>9444257</v>
      </c>
      <c r="C60" s="15">
        <f t="shared" si="0"/>
        <v>8613307</v>
      </c>
      <c r="D60" s="15">
        <v>830950</v>
      </c>
      <c r="E60" s="16">
        <v>761</v>
      </c>
      <c r="F60" s="15">
        <v>156</v>
      </c>
    </row>
    <row r="61" spans="1:6" ht="12.75">
      <c r="A61" s="22">
        <f t="shared" si="1"/>
        <v>40607</v>
      </c>
      <c r="B61" s="15">
        <v>9954468</v>
      </c>
      <c r="C61" s="15">
        <f t="shared" si="0"/>
        <v>9063612</v>
      </c>
      <c r="D61" s="15">
        <v>890856</v>
      </c>
      <c r="E61" s="16">
        <v>761</v>
      </c>
      <c r="F61" s="15">
        <v>167</v>
      </c>
    </row>
    <row r="62" spans="1:6" ht="12.75">
      <c r="A62" s="22">
        <f t="shared" si="1"/>
        <v>40614</v>
      </c>
      <c r="B62" s="15">
        <v>8180301</v>
      </c>
      <c r="C62" s="15">
        <f t="shared" si="0"/>
        <v>7494307</v>
      </c>
      <c r="D62" s="15">
        <v>685994</v>
      </c>
      <c r="E62" s="16">
        <v>761</v>
      </c>
      <c r="F62" s="15">
        <v>129</v>
      </c>
    </row>
    <row r="63" spans="1:6" ht="12.75">
      <c r="A63" s="22">
        <f t="shared" si="1"/>
        <v>40621</v>
      </c>
      <c r="B63" s="15">
        <v>9970436</v>
      </c>
      <c r="C63" s="15">
        <f t="shared" si="0"/>
        <v>9062174</v>
      </c>
      <c r="D63" s="15">
        <v>908262</v>
      </c>
      <c r="E63" s="16">
        <v>761</v>
      </c>
      <c r="F63" s="15">
        <v>171</v>
      </c>
    </row>
    <row r="64" spans="1:6" ht="12.75">
      <c r="A64" s="22">
        <f t="shared" si="1"/>
        <v>40628</v>
      </c>
      <c r="B64" s="15">
        <v>8978038</v>
      </c>
      <c r="C64" s="15">
        <f t="shared" si="0"/>
        <v>8194146</v>
      </c>
      <c r="D64" s="15">
        <v>783892</v>
      </c>
      <c r="E64" s="16">
        <v>761</v>
      </c>
      <c r="F64" s="15">
        <v>147</v>
      </c>
    </row>
    <row r="65" ht="12.75">
      <c r="A65" s="22"/>
    </row>
    <row r="66" spans="1:6" ht="13.5" thickBot="1">
      <c r="A66" s="3" t="s">
        <v>8</v>
      </c>
      <c r="B66" s="17">
        <f>SUM(B13:B64)</f>
        <v>454908343</v>
      </c>
      <c r="C66" s="17">
        <f>SUM(C13:C64)</f>
        <v>413890068</v>
      </c>
      <c r="D66" s="17">
        <f>SUM(D13:D64)</f>
        <v>41018275</v>
      </c>
      <c r="E66" s="23">
        <f>SUM(E13:E64)/COUNT(E13:E64)</f>
        <v>761</v>
      </c>
      <c r="F66" s="17">
        <f>+D66/SUM(E13:E64)/7</f>
        <v>148.07827684798775</v>
      </c>
    </row>
    <row r="67" spans="1:4" s="21" customFormat="1" ht="13.5" thickTop="1">
      <c r="A67" s="19"/>
      <c r="B67" s="20"/>
      <c r="C67" s="20"/>
      <c r="D67" s="20"/>
    </row>
  </sheetData>
  <sheetProtection/>
  <mergeCells count="6">
    <mergeCell ref="A5:F5"/>
    <mergeCell ref="A8:F8"/>
    <mergeCell ref="A1:F1"/>
    <mergeCell ref="A2:F2"/>
    <mergeCell ref="A3:F3"/>
    <mergeCell ref="A4:F4"/>
  </mergeCells>
  <hyperlinks>
    <hyperlink ref="A4" r:id="rId1" display="www.vernondowns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zoomScalePageLayoutView="0" workbookViewId="0" topLeftCell="A1">
      <pane ySplit="11" topLeftCell="A60" activePane="bottomLeft" state="frozen"/>
      <selection pane="topLeft" activeCell="A1" sqref="A1"/>
      <selection pane="bottomLeft" activeCell="A67" sqref="A67"/>
    </sheetView>
  </sheetViews>
  <sheetFormatPr defaultColWidth="9.140625" defaultRowHeight="12.75"/>
  <cols>
    <col min="1" max="1" width="15.7109375" style="3" customWidth="1"/>
    <col min="2" max="4" width="15.7109375" style="15" customWidth="1"/>
    <col min="5" max="5" width="15.7109375" style="16" customWidth="1"/>
    <col min="6" max="6" width="15.7109375" style="15" customWidth="1"/>
  </cols>
  <sheetData>
    <row r="1" spans="1:10" ht="18">
      <c r="A1" s="71" t="s">
        <v>19</v>
      </c>
      <c r="B1" s="71"/>
      <c r="C1" s="71"/>
      <c r="D1" s="71"/>
      <c r="E1" s="71"/>
      <c r="F1" s="71"/>
      <c r="G1" s="25"/>
      <c r="H1" s="25"/>
      <c r="I1" s="25"/>
      <c r="J1" s="25"/>
    </row>
    <row r="2" spans="1:10" ht="15">
      <c r="A2" s="72" t="s">
        <v>15</v>
      </c>
      <c r="B2" s="72"/>
      <c r="C2" s="72"/>
      <c r="D2" s="72"/>
      <c r="E2" s="72"/>
      <c r="F2" s="72"/>
      <c r="G2" s="26"/>
      <c r="H2" s="26"/>
      <c r="I2" s="26"/>
      <c r="J2" s="26"/>
    </row>
    <row r="3" spans="1:10" s="1" customFormat="1" ht="15">
      <c r="A3" s="72" t="s">
        <v>16</v>
      </c>
      <c r="B3" s="72"/>
      <c r="C3" s="72"/>
      <c r="D3" s="72"/>
      <c r="E3" s="72"/>
      <c r="F3" s="72"/>
      <c r="G3" s="26"/>
      <c r="H3" s="26"/>
      <c r="I3" s="26"/>
      <c r="J3" s="26"/>
    </row>
    <row r="4" spans="1:10" s="1" customFormat="1" ht="14.25" customHeight="1">
      <c r="A4" s="63" t="s">
        <v>17</v>
      </c>
      <c r="B4" s="63"/>
      <c r="C4" s="63"/>
      <c r="D4" s="63"/>
      <c r="E4" s="63"/>
      <c r="F4" s="63"/>
      <c r="G4" s="27"/>
      <c r="H4" s="27"/>
      <c r="I4" s="27"/>
      <c r="J4" s="27"/>
    </row>
    <row r="5" spans="1:10" s="1" customFormat="1" ht="14.25">
      <c r="A5" s="73" t="s">
        <v>18</v>
      </c>
      <c r="B5" s="73"/>
      <c r="C5" s="73"/>
      <c r="D5" s="73"/>
      <c r="E5" s="73"/>
      <c r="F5" s="73"/>
      <c r="G5" s="28"/>
      <c r="H5" s="28"/>
      <c r="I5" s="28"/>
      <c r="J5" s="28"/>
    </row>
    <row r="6" spans="1:10" s="1" customFormat="1" ht="14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6" s="1" customFormat="1" ht="12.75">
      <c r="A7" s="3"/>
      <c r="B7" s="4"/>
      <c r="C7" s="4"/>
      <c r="D7" s="5"/>
      <c r="E7" s="6"/>
      <c r="F7" s="5"/>
    </row>
    <row r="8" spans="1:6" s="7" customFormat="1" ht="14.25" customHeight="1">
      <c r="A8" s="68" t="s">
        <v>10</v>
      </c>
      <c r="B8" s="69"/>
      <c r="C8" s="69"/>
      <c r="D8" s="69"/>
      <c r="E8" s="69"/>
      <c r="F8" s="70"/>
    </row>
    <row r="9" spans="1:6" s="1" customFormat="1" ht="9" customHeight="1">
      <c r="A9" s="3"/>
      <c r="B9" s="4"/>
      <c r="C9" s="4"/>
      <c r="D9" s="5"/>
      <c r="E9" s="6"/>
      <c r="F9" s="5"/>
    </row>
    <row r="10" spans="1:6" s="12" customFormat="1" ht="12">
      <c r="A10" s="9"/>
      <c r="B10" s="10" t="s">
        <v>0</v>
      </c>
      <c r="C10" s="10" t="s">
        <v>0</v>
      </c>
      <c r="D10" s="10"/>
      <c r="E10" s="11" t="s">
        <v>1</v>
      </c>
      <c r="F10" s="10" t="s">
        <v>2</v>
      </c>
    </row>
    <row r="11" spans="1:6" s="12" customFormat="1" ht="12">
      <c r="A11" s="13" t="s">
        <v>11</v>
      </c>
      <c r="B11" s="8" t="s">
        <v>3</v>
      </c>
      <c r="C11" s="8" t="s">
        <v>4</v>
      </c>
      <c r="D11" s="8" t="s">
        <v>5</v>
      </c>
      <c r="E11" s="14" t="s">
        <v>6</v>
      </c>
      <c r="F11" s="8" t="s">
        <v>7</v>
      </c>
    </row>
    <row r="13" spans="1:6" ht="12.75">
      <c r="A13" s="22">
        <v>39907</v>
      </c>
      <c r="B13" s="15">
        <v>8176024.5600000005</v>
      </c>
      <c r="C13" s="15">
        <f>+B13-D13</f>
        <v>7466335.220000001</v>
      </c>
      <c r="D13" s="15">
        <v>709689.34</v>
      </c>
      <c r="E13" s="16">
        <v>761</v>
      </c>
      <c r="F13" s="15">
        <v>133.22495588511353</v>
      </c>
    </row>
    <row r="14" spans="1:6" ht="12.75">
      <c r="A14" s="22">
        <v>39914</v>
      </c>
      <c r="B14" s="15">
        <v>8041151.149999999</v>
      </c>
      <c r="C14" s="15">
        <f aca="true" t="shared" si="0" ref="C14:C64">+B14-D14</f>
        <v>7301315.93</v>
      </c>
      <c r="D14" s="15">
        <v>739835.22</v>
      </c>
      <c r="E14" s="16">
        <v>761</v>
      </c>
      <c r="F14" s="15">
        <v>138.884028533884</v>
      </c>
    </row>
    <row r="15" spans="1:6" ht="12.75">
      <c r="A15" s="22">
        <v>39921</v>
      </c>
      <c r="B15" s="15">
        <v>8077921.779999999</v>
      </c>
      <c r="C15" s="15">
        <f t="shared" si="0"/>
        <v>7312669.1899999995</v>
      </c>
      <c r="D15" s="15">
        <v>765252.59</v>
      </c>
      <c r="E15" s="16">
        <v>761</v>
      </c>
      <c r="F15" s="15">
        <v>143.65545147362494</v>
      </c>
    </row>
    <row r="16" spans="1:6" ht="12.75">
      <c r="A16" s="22">
        <v>39928</v>
      </c>
      <c r="B16" s="15">
        <v>7677634.279999999</v>
      </c>
      <c r="C16" s="15">
        <f t="shared" si="0"/>
        <v>6986606.959999999</v>
      </c>
      <c r="D16" s="15">
        <v>691027.32</v>
      </c>
      <c r="E16" s="16">
        <v>761</v>
      </c>
      <c r="F16" s="15">
        <v>129.7216669795382</v>
      </c>
    </row>
    <row r="17" spans="1:6" ht="12.75">
      <c r="A17" s="22">
        <v>39935</v>
      </c>
      <c r="B17" s="15">
        <v>8030975.680000001</v>
      </c>
      <c r="C17" s="15">
        <f t="shared" si="0"/>
        <v>7302866.420000001</v>
      </c>
      <c r="D17" s="15">
        <v>728109.26</v>
      </c>
      <c r="E17" s="16">
        <v>761</v>
      </c>
      <c r="F17" s="15">
        <v>136.68279707152243</v>
      </c>
    </row>
    <row r="18" spans="1:6" ht="12.75">
      <c r="A18" s="22">
        <v>39942</v>
      </c>
      <c r="B18" s="15">
        <v>7557281.32</v>
      </c>
      <c r="C18" s="15">
        <f t="shared" si="0"/>
        <v>6871599.180000001</v>
      </c>
      <c r="D18" s="15">
        <v>685682.14</v>
      </c>
      <c r="E18" s="16">
        <v>761</v>
      </c>
      <c r="F18" s="15">
        <v>128.718254176835</v>
      </c>
    </row>
    <row r="19" spans="1:6" ht="12.75">
      <c r="A19" s="22">
        <v>39949</v>
      </c>
      <c r="B19" s="15">
        <v>8083242.390000001</v>
      </c>
      <c r="C19" s="15">
        <f t="shared" si="0"/>
        <v>7346802.94</v>
      </c>
      <c r="D19" s="15">
        <v>736439.45</v>
      </c>
      <c r="E19" s="16">
        <v>761</v>
      </c>
      <c r="F19" s="15">
        <v>138.24656467054626</v>
      </c>
    </row>
    <row r="20" spans="1:6" ht="12.75">
      <c r="A20" s="22">
        <v>39956</v>
      </c>
      <c r="B20" s="15">
        <v>7075572.08</v>
      </c>
      <c r="C20" s="15">
        <f t="shared" si="0"/>
        <v>6414056.45</v>
      </c>
      <c r="D20" s="15">
        <v>661515.63</v>
      </c>
      <c r="E20" s="16">
        <v>761</v>
      </c>
      <c r="F20" s="15">
        <v>124.18164633001687</v>
      </c>
    </row>
    <row r="21" spans="1:6" ht="12.75">
      <c r="A21" s="22">
        <v>39963</v>
      </c>
      <c r="B21" s="15">
        <v>8657004.49</v>
      </c>
      <c r="C21" s="15">
        <f t="shared" si="0"/>
        <v>7827400.48</v>
      </c>
      <c r="D21" s="15">
        <v>829604.01</v>
      </c>
      <c r="E21" s="16">
        <v>761</v>
      </c>
      <c r="F21" s="15">
        <v>155.73568800450536</v>
      </c>
    </row>
    <row r="22" spans="1:6" ht="12.75">
      <c r="A22" s="22">
        <v>39970</v>
      </c>
      <c r="B22" s="15">
        <v>8229516.28</v>
      </c>
      <c r="C22" s="15">
        <f t="shared" si="0"/>
        <v>7457825.36</v>
      </c>
      <c r="D22" s="15">
        <v>771690.92</v>
      </c>
      <c r="E22" s="16">
        <v>761</v>
      </c>
      <c r="F22" s="15">
        <v>144.86407358738504</v>
      </c>
    </row>
    <row r="23" spans="1:6" ht="12.75">
      <c r="A23" s="22">
        <v>39977</v>
      </c>
      <c r="B23" s="15">
        <v>7893134.99</v>
      </c>
      <c r="C23" s="15">
        <f t="shared" si="0"/>
        <v>7195157.74</v>
      </c>
      <c r="D23" s="15">
        <v>697977.25</v>
      </c>
      <c r="E23" s="16">
        <v>761</v>
      </c>
      <c r="F23" s="15">
        <v>131.02632813966585</v>
      </c>
    </row>
    <row r="24" spans="1:6" ht="12.75">
      <c r="A24" s="22">
        <v>39984</v>
      </c>
      <c r="B24" s="15">
        <v>8931055.32</v>
      </c>
      <c r="C24" s="15">
        <f t="shared" si="0"/>
        <v>8102586.82</v>
      </c>
      <c r="D24" s="15">
        <v>828468.5</v>
      </c>
      <c r="E24" s="16">
        <v>761</v>
      </c>
      <c r="F24" s="15">
        <v>155.52252675051625</v>
      </c>
    </row>
    <row r="25" spans="1:6" ht="12.75">
      <c r="A25" s="22">
        <v>39991</v>
      </c>
      <c r="B25" s="15">
        <v>7893237.29</v>
      </c>
      <c r="C25" s="15">
        <f t="shared" si="0"/>
        <v>7185693.11</v>
      </c>
      <c r="D25" s="15">
        <v>707544.18</v>
      </c>
      <c r="E25" s="16">
        <v>761</v>
      </c>
      <c r="F25" s="15">
        <v>132.82226018396844</v>
      </c>
    </row>
    <row r="26" spans="1:6" ht="12.75">
      <c r="A26" s="22">
        <v>39998</v>
      </c>
      <c r="B26" s="15">
        <v>10304297.11</v>
      </c>
      <c r="C26" s="15">
        <f t="shared" si="0"/>
        <v>9343044.01</v>
      </c>
      <c r="D26" s="15">
        <v>961253.1</v>
      </c>
      <c r="E26" s="16">
        <v>761</v>
      </c>
      <c r="F26" s="15">
        <v>180.44923972217006</v>
      </c>
    </row>
    <row r="27" spans="1:6" ht="12.75">
      <c r="A27" s="22">
        <v>40005</v>
      </c>
      <c r="B27" s="15">
        <v>8774233.69</v>
      </c>
      <c r="C27" s="15">
        <f t="shared" si="0"/>
        <v>7967311.34</v>
      </c>
      <c r="D27" s="15">
        <v>806922.35</v>
      </c>
      <c r="E27" s="16">
        <v>761</v>
      </c>
      <c r="F27" s="15">
        <v>151.47782053688755</v>
      </c>
    </row>
    <row r="28" spans="1:6" ht="12.75">
      <c r="A28" s="22">
        <v>40012</v>
      </c>
      <c r="B28" s="15">
        <v>8700963.45</v>
      </c>
      <c r="C28" s="15">
        <f t="shared" si="0"/>
        <v>7887441.149999999</v>
      </c>
      <c r="D28" s="15">
        <v>813522.3</v>
      </c>
      <c r="E28" s="16">
        <v>761</v>
      </c>
      <c r="F28" s="15">
        <v>152.71678242913458</v>
      </c>
    </row>
    <row r="29" spans="1:6" ht="12.75">
      <c r="A29" s="22">
        <v>40019</v>
      </c>
      <c r="B29" s="15">
        <v>8720513.11</v>
      </c>
      <c r="C29" s="15">
        <f t="shared" si="0"/>
        <v>7868939.7299999995</v>
      </c>
      <c r="D29" s="15">
        <v>851573.38</v>
      </c>
      <c r="E29" s="16">
        <v>761</v>
      </c>
      <c r="F29" s="15">
        <v>159.85984231274637</v>
      </c>
    </row>
    <row r="30" spans="1:6" ht="12.75">
      <c r="A30" s="22">
        <v>40026</v>
      </c>
      <c r="B30" s="15">
        <v>8007803.22</v>
      </c>
      <c r="C30" s="15">
        <f t="shared" si="0"/>
        <v>7269645.779999999</v>
      </c>
      <c r="D30" s="15">
        <v>738157.44</v>
      </c>
      <c r="E30" s="16">
        <v>761</v>
      </c>
      <c r="F30" s="15">
        <v>138.56907077154122</v>
      </c>
    </row>
    <row r="31" spans="1:6" ht="12.75">
      <c r="A31" s="22">
        <v>40033</v>
      </c>
      <c r="B31" s="15">
        <v>8769422.28</v>
      </c>
      <c r="C31" s="15">
        <f t="shared" si="0"/>
        <v>7953849.989999999</v>
      </c>
      <c r="D31" s="15">
        <v>815572.29</v>
      </c>
      <c r="E31" s="16">
        <v>761</v>
      </c>
      <c r="F31" s="15">
        <v>153.1016125398911</v>
      </c>
    </row>
    <row r="32" spans="1:6" ht="12.75">
      <c r="A32" s="22">
        <v>40040</v>
      </c>
      <c r="B32" s="15">
        <v>8275576.51</v>
      </c>
      <c r="C32" s="15">
        <f t="shared" si="0"/>
        <v>7512732.1</v>
      </c>
      <c r="D32" s="15">
        <v>762844.41</v>
      </c>
      <c r="E32" s="16">
        <v>761</v>
      </c>
      <c r="F32" s="15">
        <v>143.20338088980665</v>
      </c>
    </row>
    <row r="33" spans="1:6" ht="12.75">
      <c r="A33" s="22">
        <v>40047</v>
      </c>
      <c r="B33" s="15">
        <v>8672079.61</v>
      </c>
      <c r="C33" s="15">
        <f t="shared" si="0"/>
        <v>7872868.049999999</v>
      </c>
      <c r="D33" s="15">
        <v>799211.56</v>
      </c>
      <c r="E33" s="16">
        <v>761</v>
      </c>
      <c r="F33" s="15">
        <v>150.03032851511173</v>
      </c>
    </row>
    <row r="34" spans="1:6" ht="12.75">
      <c r="A34" s="22">
        <v>40054</v>
      </c>
      <c r="B34" s="15">
        <v>8344341.13</v>
      </c>
      <c r="C34" s="15">
        <f t="shared" si="0"/>
        <v>7560244.78</v>
      </c>
      <c r="D34" s="15">
        <v>784096.35</v>
      </c>
      <c r="E34" s="16">
        <v>761</v>
      </c>
      <c r="F34" s="15">
        <v>147.19285714285715</v>
      </c>
    </row>
    <row r="35" spans="1:6" ht="12.75">
      <c r="A35" s="22">
        <v>40061</v>
      </c>
      <c r="B35" s="15">
        <v>8385527.51</v>
      </c>
      <c r="C35" s="15">
        <f t="shared" si="0"/>
        <v>7656822.56</v>
      </c>
      <c r="D35" s="15">
        <v>728704.95</v>
      </c>
      <c r="E35" s="16">
        <v>761</v>
      </c>
      <c r="F35" s="15">
        <v>136.79462173831425</v>
      </c>
    </row>
    <row r="36" spans="1:6" ht="12.75">
      <c r="A36" s="22">
        <f>+A35+7</f>
        <v>40068</v>
      </c>
      <c r="B36" s="15">
        <v>8477919.05</v>
      </c>
      <c r="C36" s="15">
        <f t="shared" si="0"/>
        <v>7662054.870000001</v>
      </c>
      <c r="D36" s="15">
        <v>815864.18</v>
      </c>
      <c r="E36" s="16">
        <v>761</v>
      </c>
      <c r="F36" s="15">
        <v>153.15640698329264</v>
      </c>
    </row>
    <row r="37" spans="1:6" ht="12.75">
      <c r="A37" s="22">
        <f aca="true" t="shared" si="1" ref="A37:A64">+A36+7</f>
        <v>40075</v>
      </c>
      <c r="B37" s="15">
        <v>7726889.17</v>
      </c>
      <c r="C37" s="15">
        <f t="shared" si="0"/>
        <v>7006596.16</v>
      </c>
      <c r="D37" s="15">
        <v>720293.01</v>
      </c>
      <c r="E37" s="16">
        <v>761</v>
      </c>
      <c r="F37" s="15">
        <v>135.21550779050125</v>
      </c>
    </row>
    <row r="38" spans="1:6" ht="12.75">
      <c r="A38" s="22">
        <f t="shared" si="1"/>
        <v>40082</v>
      </c>
      <c r="B38" s="15">
        <v>7565170</v>
      </c>
      <c r="C38" s="15">
        <f t="shared" si="0"/>
        <v>6890187</v>
      </c>
      <c r="D38" s="15">
        <v>674983</v>
      </c>
      <c r="E38" s="16">
        <v>761</v>
      </c>
      <c r="F38" s="15">
        <v>127</v>
      </c>
    </row>
    <row r="39" spans="1:6" ht="12.75">
      <c r="A39" s="22">
        <f t="shared" si="1"/>
        <v>40089</v>
      </c>
      <c r="B39" s="15">
        <v>8004305</v>
      </c>
      <c r="C39" s="15">
        <f t="shared" si="0"/>
        <v>7253347</v>
      </c>
      <c r="D39" s="15">
        <v>750958</v>
      </c>
      <c r="E39" s="16">
        <v>761</v>
      </c>
      <c r="F39" s="15">
        <v>141</v>
      </c>
    </row>
    <row r="40" spans="1:6" ht="12.75">
      <c r="A40" s="22">
        <f t="shared" si="1"/>
        <v>40096</v>
      </c>
      <c r="B40" s="15">
        <v>7808071</v>
      </c>
      <c r="C40" s="15">
        <f t="shared" si="0"/>
        <v>7081869</v>
      </c>
      <c r="D40" s="15">
        <v>726202</v>
      </c>
      <c r="E40" s="16">
        <v>761</v>
      </c>
      <c r="F40" s="15">
        <v>136</v>
      </c>
    </row>
    <row r="41" spans="1:6" ht="12.75">
      <c r="A41" s="22">
        <f t="shared" si="1"/>
        <v>40103</v>
      </c>
      <c r="B41" s="15">
        <v>7671304</v>
      </c>
      <c r="C41" s="15">
        <f t="shared" si="0"/>
        <v>6965292</v>
      </c>
      <c r="D41" s="15">
        <v>706012</v>
      </c>
      <c r="E41" s="16">
        <v>761</v>
      </c>
      <c r="F41" s="15">
        <v>133</v>
      </c>
    </row>
    <row r="42" spans="1:6" ht="12.75">
      <c r="A42" s="22">
        <f t="shared" si="1"/>
        <v>40110</v>
      </c>
      <c r="B42" s="15">
        <v>8160789</v>
      </c>
      <c r="C42" s="15">
        <f t="shared" si="0"/>
        <v>7413482</v>
      </c>
      <c r="D42" s="15">
        <v>747307</v>
      </c>
      <c r="E42" s="16">
        <v>761</v>
      </c>
      <c r="F42" s="15">
        <v>140</v>
      </c>
    </row>
    <row r="43" spans="1:6" ht="12.75">
      <c r="A43" s="22">
        <f t="shared" si="1"/>
        <v>40117</v>
      </c>
      <c r="B43" s="15">
        <v>7476832</v>
      </c>
      <c r="C43" s="15">
        <f t="shared" si="0"/>
        <v>6807464</v>
      </c>
      <c r="D43" s="15">
        <v>669368</v>
      </c>
      <c r="E43" s="16">
        <v>761</v>
      </c>
      <c r="F43" s="15">
        <v>126</v>
      </c>
    </row>
    <row r="44" spans="1:6" ht="12.75">
      <c r="A44" s="22">
        <f t="shared" si="1"/>
        <v>40124</v>
      </c>
      <c r="B44" s="15">
        <v>7696279</v>
      </c>
      <c r="C44" s="15">
        <f t="shared" si="0"/>
        <v>6993872</v>
      </c>
      <c r="D44" s="15">
        <v>702407</v>
      </c>
      <c r="E44" s="16">
        <v>761</v>
      </c>
      <c r="F44" s="15">
        <v>132</v>
      </c>
    </row>
    <row r="45" spans="1:6" ht="12.75">
      <c r="A45" s="22">
        <f t="shared" si="1"/>
        <v>40131</v>
      </c>
      <c r="B45" s="15">
        <v>7744380</v>
      </c>
      <c r="C45" s="15">
        <f t="shared" si="0"/>
        <v>6996417</v>
      </c>
      <c r="D45" s="15">
        <v>747963</v>
      </c>
      <c r="E45" s="16">
        <v>761</v>
      </c>
      <c r="F45" s="15">
        <v>140</v>
      </c>
    </row>
    <row r="46" spans="1:6" ht="12.75">
      <c r="A46" s="22">
        <f t="shared" si="1"/>
        <v>40138</v>
      </c>
      <c r="B46" s="15">
        <v>7400807</v>
      </c>
      <c r="C46" s="15">
        <f t="shared" si="0"/>
        <v>6689457</v>
      </c>
      <c r="D46" s="15">
        <v>711350</v>
      </c>
      <c r="E46" s="16">
        <v>761</v>
      </c>
      <c r="F46" s="15">
        <v>134</v>
      </c>
    </row>
    <row r="47" spans="1:6" ht="12.75">
      <c r="A47" s="22">
        <f t="shared" si="1"/>
        <v>40145</v>
      </c>
      <c r="B47" s="15">
        <v>8002566</v>
      </c>
      <c r="C47" s="15">
        <f t="shared" si="0"/>
        <v>7276988</v>
      </c>
      <c r="D47" s="15">
        <v>725578</v>
      </c>
      <c r="E47" s="16">
        <v>761</v>
      </c>
      <c r="F47" s="15">
        <v>136</v>
      </c>
    </row>
    <row r="48" spans="1:6" ht="12.75">
      <c r="A48" s="22">
        <f t="shared" si="1"/>
        <v>40152</v>
      </c>
      <c r="B48" s="15">
        <v>7300366</v>
      </c>
      <c r="C48" s="15">
        <f t="shared" si="0"/>
        <v>6629668</v>
      </c>
      <c r="D48" s="15">
        <v>670698</v>
      </c>
      <c r="E48" s="16">
        <v>761</v>
      </c>
      <c r="F48" s="15">
        <v>126</v>
      </c>
    </row>
    <row r="49" spans="1:6" ht="12.75">
      <c r="A49" s="22">
        <f t="shared" si="1"/>
        <v>40159</v>
      </c>
      <c r="B49" s="15">
        <v>5509292</v>
      </c>
      <c r="C49" s="15">
        <f t="shared" si="0"/>
        <v>4982929</v>
      </c>
      <c r="D49" s="15">
        <v>526363</v>
      </c>
      <c r="E49" s="16">
        <v>761</v>
      </c>
      <c r="F49" s="15">
        <v>99</v>
      </c>
    </row>
    <row r="50" spans="1:6" ht="12.75">
      <c r="A50" s="22">
        <f t="shared" si="1"/>
        <v>40166</v>
      </c>
      <c r="B50" s="15">
        <v>5808479</v>
      </c>
      <c r="C50" s="15">
        <f t="shared" si="0"/>
        <v>5279264</v>
      </c>
      <c r="D50" s="15">
        <v>529215</v>
      </c>
      <c r="E50" s="16">
        <v>761</v>
      </c>
      <c r="F50" s="15">
        <v>99</v>
      </c>
    </row>
    <row r="51" spans="1:6" ht="12.75">
      <c r="A51" s="22">
        <f t="shared" si="1"/>
        <v>40173</v>
      </c>
      <c r="B51" s="15">
        <v>4974846</v>
      </c>
      <c r="C51" s="15">
        <f t="shared" si="0"/>
        <v>4501697</v>
      </c>
      <c r="D51" s="15">
        <v>473149</v>
      </c>
      <c r="E51" s="16">
        <v>761</v>
      </c>
      <c r="F51" s="15">
        <v>89</v>
      </c>
    </row>
    <row r="52" spans="1:6" ht="12.75">
      <c r="A52" s="22">
        <f t="shared" si="1"/>
        <v>40180</v>
      </c>
      <c r="B52" s="15">
        <v>8890853</v>
      </c>
      <c r="C52" s="15">
        <f t="shared" si="0"/>
        <v>8062361</v>
      </c>
      <c r="D52" s="15">
        <v>828492</v>
      </c>
      <c r="E52" s="16">
        <v>761</v>
      </c>
      <c r="F52" s="15">
        <v>156</v>
      </c>
    </row>
    <row r="53" spans="1:6" ht="12.75">
      <c r="A53" s="22">
        <f t="shared" si="1"/>
        <v>40187</v>
      </c>
      <c r="B53" s="15">
        <v>5156903</v>
      </c>
      <c r="C53" s="15">
        <f t="shared" si="0"/>
        <v>4692113</v>
      </c>
      <c r="D53" s="15">
        <v>464790</v>
      </c>
      <c r="E53" s="16">
        <v>761</v>
      </c>
      <c r="F53" s="15">
        <v>87</v>
      </c>
    </row>
    <row r="54" spans="1:6" ht="12.75">
      <c r="A54" s="22">
        <f t="shared" si="1"/>
        <v>40194</v>
      </c>
      <c r="B54" s="15">
        <v>7651935</v>
      </c>
      <c r="C54" s="15">
        <f t="shared" si="0"/>
        <v>6977191</v>
      </c>
      <c r="D54" s="15">
        <v>674744</v>
      </c>
      <c r="E54" s="16">
        <v>761</v>
      </c>
      <c r="F54" s="15">
        <v>127</v>
      </c>
    </row>
    <row r="55" spans="1:6" ht="12.75">
      <c r="A55" s="22">
        <f t="shared" si="1"/>
        <v>40201</v>
      </c>
      <c r="B55" s="15">
        <v>8075776</v>
      </c>
      <c r="C55" s="15">
        <f t="shared" si="0"/>
        <v>7334159</v>
      </c>
      <c r="D55" s="15">
        <v>741617</v>
      </c>
      <c r="E55" s="16">
        <v>761</v>
      </c>
      <c r="F55" s="15">
        <v>139</v>
      </c>
    </row>
    <row r="56" spans="1:6" ht="12.75">
      <c r="A56" s="22">
        <f t="shared" si="1"/>
        <v>40208</v>
      </c>
      <c r="B56" s="15">
        <v>6368045</v>
      </c>
      <c r="C56" s="15">
        <f t="shared" si="0"/>
        <v>5802323</v>
      </c>
      <c r="D56" s="15">
        <v>565722</v>
      </c>
      <c r="E56" s="16">
        <v>761</v>
      </c>
      <c r="F56" s="15">
        <v>106</v>
      </c>
    </row>
    <row r="57" spans="1:6" ht="12.75">
      <c r="A57" s="22">
        <f t="shared" si="1"/>
        <v>40215</v>
      </c>
      <c r="B57" s="15">
        <v>8088975</v>
      </c>
      <c r="C57" s="15">
        <f t="shared" si="0"/>
        <v>7351585</v>
      </c>
      <c r="D57" s="15">
        <v>737390</v>
      </c>
      <c r="E57" s="16">
        <v>761</v>
      </c>
      <c r="F57" s="15">
        <v>138</v>
      </c>
    </row>
    <row r="58" spans="1:6" ht="12.75">
      <c r="A58" s="22">
        <f t="shared" si="1"/>
        <v>40222</v>
      </c>
      <c r="B58" s="15">
        <v>8389973</v>
      </c>
      <c r="C58" s="15">
        <f t="shared" si="0"/>
        <v>7634523</v>
      </c>
      <c r="D58" s="15">
        <v>755450</v>
      </c>
      <c r="E58" s="16">
        <v>761</v>
      </c>
      <c r="F58" s="15">
        <v>142</v>
      </c>
    </row>
    <row r="59" spans="1:6" ht="12.75">
      <c r="A59" s="22">
        <f t="shared" si="1"/>
        <v>40229</v>
      </c>
      <c r="B59" s="15">
        <v>8617959</v>
      </c>
      <c r="C59" s="15">
        <f t="shared" si="0"/>
        <v>7819366</v>
      </c>
      <c r="D59" s="15">
        <v>798593</v>
      </c>
      <c r="E59" s="16">
        <v>761</v>
      </c>
      <c r="F59" s="15">
        <v>150</v>
      </c>
    </row>
    <row r="60" spans="1:6" ht="12.75">
      <c r="A60" s="22">
        <f t="shared" si="1"/>
        <v>40236</v>
      </c>
      <c r="B60" s="15">
        <v>6742908</v>
      </c>
      <c r="C60" s="15">
        <f t="shared" si="0"/>
        <v>6110559</v>
      </c>
      <c r="D60" s="15">
        <v>632349</v>
      </c>
      <c r="E60" s="16">
        <v>761</v>
      </c>
      <c r="F60" s="15">
        <v>119</v>
      </c>
    </row>
    <row r="61" spans="1:6" ht="12.75">
      <c r="A61" s="22">
        <f t="shared" si="1"/>
        <v>40243</v>
      </c>
      <c r="B61" s="15">
        <v>10463256</v>
      </c>
      <c r="C61" s="15">
        <f t="shared" si="0"/>
        <v>9520158</v>
      </c>
      <c r="D61" s="15">
        <v>943098</v>
      </c>
      <c r="E61" s="16">
        <v>761</v>
      </c>
      <c r="F61" s="15">
        <v>177</v>
      </c>
    </row>
    <row r="62" spans="1:6" ht="12.75">
      <c r="A62" s="22">
        <f t="shared" si="1"/>
        <v>40250</v>
      </c>
      <c r="B62" s="15">
        <v>9127163</v>
      </c>
      <c r="C62" s="15">
        <f t="shared" si="0"/>
        <v>8289686</v>
      </c>
      <c r="D62" s="15">
        <v>837477</v>
      </c>
      <c r="E62" s="16">
        <v>761</v>
      </c>
      <c r="F62" s="15">
        <v>157</v>
      </c>
    </row>
    <row r="63" spans="1:6" ht="12.75">
      <c r="A63" s="22">
        <f t="shared" si="1"/>
        <v>40257</v>
      </c>
      <c r="B63" s="15">
        <v>9141098</v>
      </c>
      <c r="C63" s="15">
        <f t="shared" si="0"/>
        <v>8288498</v>
      </c>
      <c r="D63" s="15">
        <v>852600</v>
      </c>
      <c r="E63" s="16">
        <v>761</v>
      </c>
      <c r="F63" s="15">
        <v>160</v>
      </c>
    </row>
    <row r="64" spans="1:6" ht="12.75">
      <c r="A64" s="22">
        <f t="shared" si="1"/>
        <v>40264</v>
      </c>
      <c r="B64" s="15">
        <v>8462429</v>
      </c>
      <c r="C64" s="15">
        <f t="shared" si="0"/>
        <v>7676416</v>
      </c>
      <c r="D64" s="15">
        <v>786013</v>
      </c>
      <c r="E64" s="16">
        <v>761</v>
      </c>
      <c r="F64" s="15">
        <v>148</v>
      </c>
    </row>
    <row r="65" ht="12.75">
      <c r="A65" s="22"/>
    </row>
    <row r="66" spans="1:6" ht="13.5" thickBot="1">
      <c r="A66" s="3" t="s">
        <v>8</v>
      </c>
      <c r="B66" s="17">
        <f>SUM(B13:B64)</f>
        <v>413784076.4499999</v>
      </c>
      <c r="C66" s="17">
        <f>SUM(C13:C64)</f>
        <v>375653337.32000005</v>
      </c>
      <c r="D66" s="17">
        <f>SUM(D13:D64)</f>
        <v>38130739.129999995</v>
      </c>
      <c r="E66" s="23">
        <f>SUM(E13:E64)/COUNT(E13:E64)</f>
        <v>761</v>
      </c>
      <c r="F66" s="17">
        <f>+D66/SUM(E13:E64)/7</f>
        <v>137.65411015725402</v>
      </c>
    </row>
    <row r="67" spans="1:4" s="21" customFormat="1" ht="13.5" thickTop="1">
      <c r="A67" s="19"/>
      <c r="B67" s="20"/>
      <c r="C67" s="20"/>
      <c r="D67" s="20"/>
    </row>
  </sheetData>
  <sheetProtection/>
  <mergeCells count="6">
    <mergeCell ref="A5:F5"/>
    <mergeCell ref="A8:F8"/>
    <mergeCell ref="A1:F1"/>
    <mergeCell ref="A2:F2"/>
    <mergeCell ref="A3:F3"/>
    <mergeCell ref="A4:F4"/>
  </mergeCells>
  <hyperlinks>
    <hyperlink ref="A4" r:id="rId1" display="www.vernondowns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zoomScalePageLayoutView="0" workbookViewId="0" topLeftCell="A1">
      <pane ySplit="11" topLeftCell="A57" activePane="bottomLeft" state="frozen"/>
      <selection pane="topLeft" activeCell="A1" sqref="A1"/>
      <selection pane="bottomLeft" activeCell="A68" sqref="A68"/>
    </sheetView>
  </sheetViews>
  <sheetFormatPr defaultColWidth="9.140625" defaultRowHeight="12.75"/>
  <cols>
    <col min="1" max="1" width="15.7109375" style="3" customWidth="1"/>
    <col min="2" max="4" width="15.7109375" style="15" customWidth="1"/>
    <col min="5" max="5" width="15.7109375" style="16" customWidth="1"/>
    <col min="6" max="6" width="15.7109375" style="15" customWidth="1"/>
  </cols>
  <sheetData>
    <row r="1" spans="1:10" ht="18">
      <c r="A1" s="71" t="s">
        <v>19</v>
      </c>
      <c r="B1" s="71"/>
      <c r="C1" s="71"/>
      <c r="D1" s="71"/>
      <c r="E1" s="71"/>
      <c r="F1" s="71"/>
      <c r="G1" s="25"/>
      <c r="H1" s="25"/>
      <c r="I1" s="25"/>
      <c r="J1" s="25"/>
    </row>
    <row r="2" spans="1:10" ht="15">
      <c r="A2" s="72" t="s">
        <v>15</v>
      </c>
      <c r="B2" s="72"/>
      <c r="C2" s="72"/>
      <c r="D2" s="72"/>
      <c r="E2" s="72"/>
      <c r="F2" s="72"/>
      <c r="G2" s="26"/>
      <c r="H2" s="26"/>
      <c r="I2" s="26"/>
      <c r="J2" s="26"/>
    </row>
    <row r="3" spans="1:10" s="1" customFormat="1" ht="15">
      <c r="A3" s="72" t="s">
        <v>16</v>
      </c>
      <c r="B3" s="72"/>
      <c r="C3" s="72"/>
      <c r="D3" s="72"/>
      <c r="E3" s="72"/>
      <c r="F3" s="72"/>
      <c r="G3" s="26"/>
      <c r="H3" s="26"/>
      <c r="I3" s="26"/>
      <c r="J3" s="26"/>
    </row>
    <row r="4" spans="1:10" s="1" customFormat="1" ht="14.25" customHeight="1">
      <c r="A4" s="63" t="s">
        <v>17</v>
      </c>
      <c r="B4" s="63"/>
      <c r="C4" s="63"/>
      <c r="D4" s="63"/>
      <c r="E4" s="63"/>
      <c r="F4" s="63"/>
      <c r="G4" s="27"/>
      <c r="H4" s="27"/>
      <c r="I4" s="27"/>
      <c r="J4" s="27"/>
    </row>
    <row r="5" spans="1:10" s="1" customFormat="1" ht="14.25">
      <c r="A5" s="73" t="s">
        <v>18</v>
      </c>
      <c r="B5" s="73"/>
      <c r="C5" s="73"/>
      <c r="D5" s="73"/>
      <c r="E5" s="73"/>
      <c r="F5" s="73"/>
      <c r="G5" s="28"/>
      <c r="H5" s="28"/>
      <c r="I5" s="28"/>
      <c r="J5" s="28"/>
    </row>
    <row r="6" spans="1:6" s="1" customFormat="1" ht="14.25">
      <c r="A6" s="2"/>
      <c r="B6" s="2"/>
      <c r="C6" s="2"/>
      <c r="D6" s="2"/>
      <c r="E6" s="2"/>
      <c r="F6" s="2"/>
    </row>
    <row r="7" spans="1:6" s="1" customFormat="1" ht="12.75">
      <c r="A7" s="3"/>
      <c r="B7" s="4"/>
      <c r="C7" s="4"/>
      <c r="D7" s="5"/>
      <c r="E7" s="6"/>
      <c r="F7" s="5"/>
    </row>
    <row r="8" spans="1:6" s="7" customFormat="1" ht="14.25" customHeight="1">
      <c r="A8" s="68" t="s">
        <v>9</v>
      </c>
      <c r="B8" s="69"/>
      <c r="C8" s="69"/>
      <c r="D8" s="69"/>
      <c r="E8" s="69"/>
      <c r="F8" s="70"/>
    </row>
    <row r="9" spans="1:6" s="1" customFormat="1" ht="9" customHeight="1">
      <c r="A9" s="3"/>
      <c r="B9" s="4"/>
      <c r="C9" s="4"/>
      <c r="D9" s="5"/>
      <c r="E9" s="6"/>
      <c r="F9" s="5"/>
    </row>
    <row r="10" spans="1:6" s="12" customFormat="1" ht="12">
      <c r="A10" s="9"/>
      <c r="B10" s="10" t="s">
        <v>0</v>
      </c>
      <c r="C10" s="10" t="s">
        <v>0</v>
      </c>
      <c r="D10" s="10"/>
      <c r="E10" s="11" t="s">
        <v>1</v>
      </c>
      <c r="F10" s="10" t="s">
        <v>2</v>
      </c>
    </row>
    <row r="11" spans="1:6" s="12" customFormat="1" ht="12">
      <c r="A11" s="13" t="s">
        <v>11</v>
      </c>
      <c r="B11" s="8" t="s">
        <v>3</v>
      </c>
      <c r="C11" s="8" t="s">
        <v>4</v>
      </c>
      <c r="D11" s="8" t="s">
        <v>5</v>
      </c>
      <c r="E11" s="14" t="s">
        <v>6</v>
      </c>
      <c r="F11" s="8" t="s">
        <v>7</v>
      </c>
    </row>
    <row r="13" spans="1:6" ht="12.75">
      <c r="A13" s="22">
        <v>39543</v>
      </c>
      <c r="B13" s="15">
        <v>8723884.05</v>
      </c>
      <c r="C13" s="15">
        <f>+B13-D13</f>
        <v>7930910.790000001</v>
      </c>
      <c r="D13" s="15">
        <v>792973.26</v>
      </c>
      <c r="E13" s="16">
        <v>761</v>
      </c>
      <c r="F13" s="15">
        <v>148.85925661723294</v>
      </c>
    </row>
    <row r="14" spans="1:6" ht="12.75">
      <c r="A14" s="22">
        <v>39550</v>
      </c>
      <c r="B14" s="15">
        <v>7762690.779999999</v>
      </c>
      <c r="C14" s="15">
        <f aca="true" t="shared" si="0" ref="C14:C64">+B14-D14</f>
        <v>7040856.579999999</v>
      </c>
      <c r="D14" s="15">
        <v>721834.2</v>
      </c>
      <c r="E14" s="16">
        <v>761</v>
      </c>
      <c r="F14" s="15">
        <v>135.50482447906887</v>
      </c>
    </row>
    <row r="15" spans="1:6" ht="12.75">
      <c r="A15" s="22">
        <v>39557</v>
      </c>
      <c r="B15" s="15">
        <v>8459024.16</v>
      </c>
      <c r="C15" s="15">
        <f t="shared" si="0"/>
        <v>7703620.28</v>
      </c>
      <c r="D15" s="15">
        <v>755403.88</v>
      </c>
      <c r="E15" s="16">
        <v>761</v>
      </c>
      <c r="F15" s="15">
        <v>141.80662286465176</v>
      </c>
    </row>
    <row r="16" spans="1:6" ht="12.75">
      <c r="A16" s="22">
        <v>39564</v>
      </c>
      <c r="B16" s="15">
        <v>8212604.1</v>
      </c>
      <c r="C16" s="15">
        <f t="shared" si="0"/>
        <v>7464427.1</v>
      </c>
      <c r="D16" s="15">
        <v>748177</v>
      </c>
      <c r="E16" s="16">
        <v>761</v>
      </c>
      <c r="F16" s="15">
        <v>140.44997184156185</v>
      </c>
    </row>
    <row r="17" spans="1:6" ht="12.75">
      <c r="A17" s="22">
        <v>39571</v>
      </c>
      <c r="B17" s="15">
        <v>8596319.56</v>
      </c>
      <c r="C17" s="15">
        <f t="shared" si="0"/>
        <v>7805727.890000001</v>
      </c>
      <c r="D17" s="15">
        <v>790591.67</v>
      </c>
      <c r="E17" s="16">
        <v>761</v>
      </c>
      <c r="F17" s="15">
        <v>148.41217758588326</v>
      </c>
    </row>
    <row r="18" spans="1:6" ht="12.75">
      <c r="A18" s="22">
        <v>39578</v>
      </c>
      <c r="B18" s="15">
        <v>7872470.300000001</v>
      </c>
      <c r="C18" s="15">
        <f t="shared" si="0"/>
        <v>7174144.410000001</v>
      </c>
      <c r="D18" s="15">
        <v>698325.89</v>
      </c>
      <c r="E18" s="16">
        <v>761</v>
      </c>
      <c r="F18" s="15">
        <v>131.09177585883234</v>
      </c>
    </row>
    <row r="19" spans="1:6" ht="12.75">
      <c r="A19" s="22">
        <v>39585</v>
      </c>
      <c r="B19" s="15">
        <v>8946896.26</v>
      </c>
      <c r="C19" s="15">
        <f t="shared" si="0"/>
        <v>8162654.64</v>
      </c>
      <c r="D19" s="15">
        <v>784241.62</v>
      </c>
      <c r="E19" s="16">
        <v>761</v>
      </c>
      <c r="F19" s="15">
        <v>147.22012765158627</v>
      </c>
    </row>
    <row r="20" spans="1:6" ht="12.75">
      <c r="A20" s="22">
        <v>39592</v>
      </c>
      <c r="B20" s="15">
        <v>8156847.32</v>
      </c>
      <c r="C20" s="15">
        <f t="shared" si="0"/>
        <v>7423409.220000001</v>
      </c>
      <c r="D20" s="15">
        <v>733438.1</v>
      </c>
      <c r="E20" s="16">
        <v>761</v>
      </c>
      <c r="F20" s="15">
        <v>137.68314248169702</v>
      </c>
    </row>
    <row r="21" spans="1:6" ht="12.75">
      <c r="A21" s="22">
        <v>39599</v>
      </c>
      <c r="B21" s="15">
        <v>8364140.16</v>
      </c>
      <c r="C21" s="15">
        <f t="shared" si="0"/>
        <v>7617324.24</v>
      </c>
      <c r="D21" s="15">
        <v>746815.92</v>
      </c>
      <c r="E21" s="16">
        <v>761</v>
      </c>
      <c r="F21" s="15">
        <v>140.19446592828984</v>
      </c>
    </row>
    <row r="22" spans="1:6" ht="12.75">
      <c r="A22" s="22">
        <v>39606</v>
      </c>
      <c r="B22" s="15">
        <v>8365876.970000001</v>
      </c>
      <c r="C22" s="15">
        <f t="shared" si="0"/>
        <v>7584556.640000001</v>
      </c>
      <c r="D22" s="15">
        <v>781320.33</v>
      </c>
      <c r="E22" s="16">
        <v>761</v>
      </c>
      <c r="F22" s="15">
        <v>146.67173455978974</v>
      </c>
    </row>
    <row r="23" spans="1:6" ht="12.75">
      <c r="A23" s="22">
        <v>39613</v>
      </c>
      <c r="B23" s="15">
        <v>7801372.499999999</v>
      </c>
      <c r="C23" s="15">
        <f t="shared" si="0"/>
        <v>7127925.639999999</v>
      </c>
      <c r="D23" s="15">
        <v>673446.86</v>
      </c>
      <c r="E23" s="16">
        <v>761</v>
      </c>
      <c r="F23" s="15">
        <v>126.42141167636568</v>
      </c>
    </row>
    <row r="24" spans="1:6" ht="12.75">
      <c r="A24" s="22">
        <v>39620</v>
      </c>
      <c r="B24" s="15">
        <v>8848200.19</v>
      </c>
      <c r="C24" s="15">
        <f t="shared" si="0"/>
        <v>8066601.6</v>
      </c>
      <c r="D24" s="15">
        <v>781598.59</v>
      </c>
      <c r="E24" s="16">
        <v>761</v>
      </c>
      <c r="F24" s="15">
        <v>146.7239703397785</v>
      </c>
    </row>
    <row r="25" spans="1:6" ht="12.75">
      <c r="A25" s="22">
        <v>39627</v>
      </c>
      <c r="B25" s="15">
        <v>8595597.97</v>
      </c>
      <c r="C25" s="15">
        <f t="shared" si="0"/>
        <v>7805698.61</v>
      </c>
      <c r="D25" s="15">
        <v>789899.36</v>
      </c>
      <c r="E25" s="16">
        <v>761</v>
      </c>
      <c r="F25" s="15">
        <v>148.28221513046745</v>
      </c>
    </row>
    <row r="26" spans="1:6" ht="12.75">
      <c r="A26" s="22">
        <v>39634</v>
      </c>
      <c r="B26" s="15">
        <v>9696982.24</v>
      </c>
      <c r="C26" s="15">
        <f t="shared" si="0"/>
        <v>8811130.72</v>
      </c>
      <c r="D26" s="15">
        <v>885851.52</v>
      </c>
      <c r="E26" s="16">
        <v>761</v>
      </c>
      <c r="F26" s="15">
        <v>166.2946348789187</v>
      </c>
    </row>
    <row r="27" spans="1:6" ht="12.75">
      <c r="A27" s="22">
        <v>39641</v>
      </c>
      <c r="B27" s="15">
        <v>8905740.129999999</v>
      </c>
      <c r="C27" s="15">
        <f t="shared" si="0"/>
        <v>8115217.849999999</v>
      </c>
      <c r="D27" s="15">
        <v>790522.28</v>
      </c>
      <c r="E27" s="16">
        <v>761</v>
      </c>
      <c r="F27" s="15">
        <v>148.39915149239724</v>
      </c>
    </row>
    <row r="28" spans="1:6" ht="12.75">
      <c r="A28" s="22">
        <v>39648</v>
      </c>
      <c r="B28" s="15">
        <v>9413260.77</v>
      </c>
      <c r="C28" s="15">
        <f t="shared" si="0"/>
        <v>8567550.65</v>
      </c>
      <c r="D28" s="15">
        <v>845710.12</v>
      </c>
      <c r="E28" s="16">
        <v>761</v>
      </c>
      <c r="F28" s="15">
        <v>158.75917401914774</v>
      </c>
    </row>
    <row r="29" spans="1:6" ht="12.75">
      <c r="A29" s="22">
        <v>39655</v>
      </c>
      <c r="B29" s="15">
        <v>9247049.06</v>
      </c>
      <c r="C29" s="15">
        <f t="shared" si="0"/>
        <v>8434093.33</v>
      </c>
      <c r="D29" s="15">
        <v>812955.73</v>
      </c>
      <c r="E29" s="16">
        <v>761</v>
      </c>
      <c r="F29" s="15">
        <v>152.6104242538014</v>
      </c>
    </row>
    <row r="30" spans="1:6" ht="12.75">
      <c r="A30" s="22">
        <v>39662</v>
      </c>
      <c r="B30" s="15">
        <v>9311305.379999999</v>
      </c>
      <c r="C30" s="15">
        <f t="shared" si="0"/>
        <v>8467902.229999999</v>
      </c>
      <c r="D30" s="15">
        <v>843403.15</v>
      </c>
      <c r="E30" s="16">
        <v>761</v>
      </c>
      <c r="F30" s="15">
        <v>158.3261028721607</v>
      </c>
    </row>
    <row r="31" spans="1:6" ht="12.75">
      <c r="A31" s="22">
        <v>39669</v>
      </c>
      <c r="B31" s="15">
        <v>8760739.74</v>
      </c>
      <c r="C31" s="15">
        <f t="shared" si="0"/>
        <v>7992520.34</v>
      </c>
      <c r="D31" s="15">
        <v>768219.4</v>
      </c>
      <c r="E31" s="16">
        <v>761</v>
      </c>
      <c r="F31" s="15">
        <v>144.2123897127839</v>
      </c>
    </row>
    <row r="32" spans="1:6" ht="12.75">
      <c r="A32" s="22">
        <v>39676</v>
      </c>
      <c r="B32" s="15">
        <v>8947752.28</v>
      </c>
      <c r="C32" s="15">
        <f t="shared" si="0"/>
        <v>8132042.09</v>
      </c>
      <c r="D32" s="15">
        <v>815710.19</v>
      </c>
      <c r="E32" s="16">
        <v>761</v>
      </c>
      <c r="F32" s="15">
        <v>153.1274995306927</v>
      </c>
    </row>
    <row r="33" spans="1:6" ht="12.75">
      <c r="A33" s="22">
        <v>39683</v>
      </c>
      <c r="B33" s="15">
        <v>8400196.98</v>
      </c>
      <c r="C33" s="15">
        <f t="shared" si="0"/>
        <v>7623420.08</v>
      </c>
      <c r="D33" s="15">
        <v>776776.9</v>
      </c>
      <c r="E33" s="16">
        <v>761</v>
      </c>
      <c r="F33" s="15">
        <v>145.81882860897315</v>
      </c>
    </row>
    <row r="34" spans="1:6" ht="12.75">
      <c r="A34" s="22">
        <v>39690</v>
      </c>
      <c r="B34" s="15">
        <v>8816866.92</v>
      </c>
      <c r="C34" s="15">
        <f t="shared" si="0"/>
        <v>8042102.4399999995</v>
      </c>
      <c r="D34" s="15">
        <v>774764.48</v>
      </c>
      <c r="E34" s="16">
        <v>761</v>
      </c>
      <c r="F34" s="15">
        <v>145.4410512483574</v>
      </c>
    </row>
    <row r="35" spans="1:6" ht="12.75">
      <c r="A35" s="22">
        <v>39697</v>
      </c>
      <c r="B35" s="15">
        <v>9728567.639999999</v>
      </c>
      <c r="C35" s="15">
        <f t="shared" si="0"/>
        <v>8814335.049999999</v>
      </c>
      <c r="D35" s="15">
        <v>914232.59</v>
      </c>
      <c r="E35" s="16">
        <v>761</v>
      </c>
      <c r="F35" s="15">
        <v>171.62241223953444</v>
      </c>
    </row>
    <row r="36" spans="1:6" ht="12.75">
      <c r="A36" s="22">
        <v>39704</v>
      </c>
      <c r="B36" s="15">
        <v>8314898.37</v>
      </c>
      <c r="C36" s="15">
        <f t="shared" si="0"/>
        <v>7533748.72</v>
      </c>
      <c r="D36" s="15">
        <v>781149.65</v>
      </c>
      <c r="E36" s="16">
        <v>761</v>
      </c>
      <c r="F36" s="15">
        <v>146.6396940116388</v>
      </c>
    </row>
    <row r="37" spans="1:6" ht="12.75">
      <c r="A37" s="22">
        <v>39711</v>
      </c>
      <c r="B37" s="15">
        <v>8416006.389999999</v>
      </c>
      <c r="C37" s="15">
        <f t="shared" si="0"/>
        <v>7670200.889999999</v>
      </c>
      <c r="D37" s="15">
        <v>745805.5</v>
      </c>
      <c r="E37" s="16">
        <v>761</v>
      </c>
      <c r="F37" s="15">
        <v>140.0047869344847</v>
      </c>
    </row>
    <row r="38" spans="1:6" ht="12.75">
      <c r="A38" s="22">
        <v>39718</v>
      </c>
      <c r="B38" s="15">
        <v>8078974.539999999</v>
      </c>
      <c r="C38" s="15">
        <f t="shared" si="0"/>
        <v>7332598.819999999</v>
      </c>
      <c r="D38" s="15">
        <v>746375.72</v>
      </c>
      <c r="E38" s="16">
        <v>761</v>
      </c>
      <c r="F38" s="15">
        <v>140.11183029847945</v>
      </c>
    </row>
    <row r="39" spans="1:6" ht="12.75">
      <c r="A39" s="22">
        <v>39725</v>
      </c>
      <c r="B39" s="15">
        <v>8298313.76</v>
      </c>
      <c r="C39" s="15">
        <f t="shared" si="0"/>
        <v>7555299.76</v>
      </c>
      <c r="D39" s="15">
        <v>743014</v>
      </c>
      <c r="E39" s="16">
        <v>761</v>
      </c>
      <c r="F39" s="15">
        <v>139.4807584006007</v>
      </c>
    </row>
    <row r="40" spans="1:6" ht="12.75">
      <c r="A40" s="22">
        <v>39732</v>
      </c>
      <c r="B40" s="15">
        <v>8187959.09</v>
      </c>
      <c r="C40" s="15">
        <f t="shared" si="0"/>
        <v>7454292.609999999</v>
      </c>
      <c r="D40" s="15">
        <v>733666.48</v>
      </c>
      <c r="E40" s="16">
        <v>761</v>
      </c>
      <c r="F40" s="15">
        <v>137.72601464238784</v>
      </c>
    </row>
    <row r="41" spans="1:6" ht="12.75">
      <c r="A41" s="22">
        <v>39739</v>
      </c>
      <c r="B41" s="15">
        <v>8907889.55</v>
      </c>
      <c r="C41" s="15">
        <f t="shared" si="0"/>
        <v>8103183.670000001</v>
      </c>
      <c r="D41" s="15">
        <v>804705.88</v>
      </c>
      <c r="E41" s="16">
        <v>761</v>
      </c>
      <c r="F41" s="15">
        <v>151.0617383142482</v>
      </c>
    </row>
    <row r="42" spans="1:6" ht="12.75">
      <c r="A42" s="22">
        <v>39746</v>
      </c>
      <c r="B42" s="15">
        <v>7864553.64</v>
      </c>
      <c r="C42" s="15">
        <f t="shared" si="0"/>
        <v>7141568.72</v>
      </c>
      <c r="D42" s="15">
        <v>722984.92</v>
      </c>
      <c r="E42" s="16">
        <v>761</v>
      </c>
      <c r="F42" s="15">
        <v>135.72084099868593</v>
      </c>
    </row>
    <row r="43" spans="1:6" ht="12.75">
      <c r="A43" s="22">
        <v>39753</v>
      </c>
      <c r="B43" s="15">
        <v>7447966.33</v>
      </c>
      <c r="C43" s="15">
        <f t="shared" si="0"/>
        <v>6755324.38</v>
      </c>
      <c r="D43" s="15">
        <v>692641.95</v>
      </c>
      <c r="E43" s="16">
        <v>761</v>
      </c>
      <c r="F43" s="15">
        <v>130.0247700394218</v>
      </c>
    </row>
    <row r="44" spans="1:6" ht="12.75">
      <c r="A44" s="22">
        <v>39760</v>
      </c>
      <c r="B44" s="15">
        <v>8564608.930000002</v>
      </c>
      <c r="C44" s="15">
        <f t="shared" si="0"/>
        <v>7779524.030000001</v>
      </c>
      <c r="D44" s="15">
        <v>785084.9</v>
      </c>
      <c r="E44" s="16">
        <v>761</v>
      </c>
      <c r="F44" s="15">
        <v>147.3784306363807</v>
      </c>
    </row>
    <row r="45" spans="1:6" ht="12.75">
      <c r="A45" s="22">
        <v>39767</v>
      </c>
      <c r="B45" s="15">
        <v>7462545.59</v>
      </c>
      <c r="C45" s="15">
        <f t="shared" si="0"/>
        <v>6774395.9399999995</v>
      </c>
      <c r="D45" s="15">
        <v>688149.65</v>
      </c>
      <c r="E45" s="16">
        <v>761</v>
      </c>
      <c r="F45" s="15">
        <v>129.18146236155434</v>
      </c>
    </row>
    <row r="46" spans="1:6" ht="12.75">
      <c r="A46" s="22">
        <v>39774</v>
      </c>
      <c r="B46" s="15">
        <v>5895517.33</v>
      </c>
      <c r="C46" s="15">
        <f t="shared" si="0"/>
        <v>5404480.0200000005</v>
      </c>
      <c r="D46" s="15">
        <v>491037.31</v>
      </c>
      <c r="E46" s="16">
        <v>761</v>
      </c>
      <c r="F46" s="15">
        <v>92.17895813778861</v>
      </c>
    </row>
    <row r="47" spans="1:6" ht="12.75">
      <c r="A47" s="22">
        <v>39781</v>
      </c>
      <c r="B47" s="15">
        <v>6680242.93</v>
      </c>
      <c r="C47" s="15">
        <f t="shared" si="0"/>
        <v>6053654.529999999</v>
      </c>
      <c r="D47" s="15">
        <v>626588.4</v>
      </c>
      <c r="E47" s="16">
        <v>761</v>
      </c>
      <c r="F47" s="15">
        <v>117.62500469307302</v>
      </c>
    </row>
    <row r="48" spans="1:6" ht="12.75">
      <c r="A48" s="22">
        <v>39788</v>
      </c>
      <c r="B48" s="15">
        <v>6554397.91</v>
      </c>
      <c r="C48" s="15">
        <f t="shared" si="0"/>
        <v>5965196.8100000005</v>
      </c>
      <c r="D48" s="15">
        <v>589201.1</v>
      </c>
      <c r="E48" s="16">
        <v>761</v>
      </c>
      <c r="F48" s="15">
        <v>110.6065515299418</v>
      </c>
    </row>
    <row r="49" spans="1:6" ht="12.75">
      <c r="A49" s="22">
        <v>39795</v>
      </c>
      <c r="B49" s="15">
        <v>5442296.87</v>
      </c>
      <c r="C49" s="15">
        <f t="shared" si="0"/>
        <v>4973974.54</v>
      </c>
      <c r="D49" s="15">
        <v>468322.33</v>
      </c>
      <c r="E49" s="16">
        <v>761</v>
      </c>
      <c r="F49" s="15">
        <v>87.91483574244414</v>
      </c>
    </row>
    <row r="50" spans="1:6" ht="12.75">
      <c r="A50" s="22">
        <v>39802</v>
      </c>
      <c r="B50" s="15">
        <v>4770100.75</v>
      </c>
      <c r="C50" s="15">
        <f t="shared" si="0"/>
        <v>4324678.44</v>
      </c>
      <c r="D50" s="15">
        <v>445422.31</v>
      </c>
      <c r="E50" s="16">
        <v>761</v>
      </c>
      <c r="F50" s="15">
        <v>83.61597709780364</v>
      </c>
    </row>
    <row r="51" spans="1:6" ht="12.75">
      <c r="A51" s="22">
        <v>39809</v>
      </c>
      <c r="B51" s="15">
        <v>5229548.06</v>
      </c>
      <c r="C51" s="15">
        <f t="shared" si="0"/>
        <v>4756645.819999999</v>
      </c>
      <c r="D51" s="15">
        <v>472902.24</v>
      </c>
      <c r="E51" s="16">
        <v>761</v>
      </c>
      <c r="F51" s="15">
        <v>88.77458982541769</v>
      </c>
    </row>
    <row r="52" spans="1:6" ht="12.75">
      <c r="A52" s="22">
        <v>39816</v>
      </c>
      <c r="B52" s="15">
        <v>9187140.28</v>
      </c>
      <c r="C52" s="15">
        <f t="shared" si="0"/>
        <v>8387134.89</v>
      </c>
      <c r="D52" s="15">
        <v>800005.39</v>
      </c>
      <c r="E52" s="16">
        <v>761</v>
      </c>
      <c r="F52" s="15">
        <v>150.17934860146423</v>
      </c>
    </row>
    <row r="53" spans="1:6" ht="12.75">
      <c r="A53" s="22">
        <v>39823</v>
      </c>
      <c r="B53" s="15">
        <v>5536726.58</v>
      </c>
      <c r="C53" s="15">
        <f t="shared" si="0"/>
        <v>5027677.42</v>
      </c>
      <c r="D53" s="15">
        <v>509049.16</v>
      </c>
      <c r="E53" s="16">
        <v>761</v>
      </c>
      <c r="F53" s="15">
        <v>95.56019523183781</v>
      </c>
    </row>
    <row r="54" spans="1:6" ht="12.75">
      <c r="A54" s="22">
        <v>39830</v>
      </c>
      <c r="B54" s="15">
        <v>5506831.66</v>
      </c>
      <c r="C54" s="15">
        <f t="shared" si="0"/>
        <v>5008299.61</v>
      </c>
      <c r="D54" s="15">
        <v>498532.05</v>
      </c>
      <c r="E54" s="16">
        <v>761</v>
      </c>
      <c r="F54" s="15">
        <v>93.5858926224892</v>
      </c>
    </row>
    <row r="55" spans="1:6" ht="12.75">
      <c r="A55" s="22">
        <v>39837</v>
      </c>
      <c r="B55" s="15">
        <v>6488730.029999999</v>
      </c>
      <c r="C55" s="15">
        <f t="shared" si="0"/>
        <v>5934691.1899999995</v>
      </c>
      <c r="D55" s="15">
        <v>554038.84</v>
      </c>
      <c r="E55" s="16">
        <v>761</v>
      </c>
      <c r="F55" s="15">
        <v>104.00578937488267</v>
      </c>
    </row>
    <row r="56" spans="1:6" ht="12.75">
      <c r="A56" s="22">
        <v>39844</v>
      </c>
      <c r="B56" s="15">
        <v>5824315.299999999</v>
      </c>
      <c r="C56" s="15">
        <f t="shared" si="0"/>
        <v>5331923.1099999985</v>
      </c>
      <c r="D56" s="15">
        <v>492392.19</v>
      </c>
      <c r="E56" s="16">
        <v>761</v>
      </c>
      <c r="F56" s="15">
        <v>92.43330016895062</v>
      </c>
    </row>
    <row r="57" spans="1:6" ht="12.75">
      <c r="A57" s="22">
        <v>39851</v>
      </c>
      <c r="B57" s="15">
        <v>7794318.549999999</v>
      </c>
      <c r="C57" s="15">
        <f t="shared" si="0"/>
        <v>7099194.239999998</v>
      </c>
      <c r="D57" s="15">
        <v>695124.31</v>
      </c>
      <c r="E57" s="16">
        <v>761</v>
      </c>
      <c r="F57" s="15">
        <v>130.49076590951756</v>
      </c>
    </row>
    <row r="58" spans="1:6" ht="12.75">
      <c r="A58" s="22">
        <v>39858</v>
      </c>
      <c r="B58" s="15">
        <v>8219902.929999999</v>
      </c>
      <c r="C58" s="15">
        <f t="shared" si="0"/>
        <v>7463522.739999998</v>
      </c>
      <c r="D58" s="15">
        <v>756380.19</v>
      </c>
      <c r="E58" s="16">
        <v>761</v>
      </c>
      <c r="F58" s="15">
        <v>141.98989862962267</v>
      </c>
    </row>
    <row r="59" spans="1:6" ht="12.75">
      <c r="A59" s="22">
        <v>39865</v>
      </c>
      <c r="B59" s="15">
        <v>7614643.66</v>
      </c>
      <c r="C59" s="15">
        <f t="shared" si="0"/>
        <v>6960769.21</v>
      </c>
      <c r="D59" s="15">
        <v>653874.45</v>
      </c>
      <c r="E59" s="16">
        <v>761</v>
      </c>
      <c r="F59" s="15">
        <v>122.74722170076966</v>
      </c>
    </row>
    <row r="60" spans="1:6" ht="12.75">
      <c r="A60" s="22">
        <v>39872</v>
      </c>
      <c r="B60" s="15">
        <v>7448393.0600000005</v>
      </c>
      <c r="C60" s="15">
        <f t="shared" si="0"/>
        <v>6758972.180000001</v>
      </c>
      <c r="D60" s="15">
        <v>689420.88</v>
      </c>
      <c r="E60" s="16">
        <v>761</v>
      </c>
      <c r="F60" s="15">
        <v>129.42010137037732</v>
      </c>
    </row>
    <row r="61" spans="1:6" ht="12.75">
      <c r="A61" s="22">
        <v>39879</v>
      </c>
      <c r="B61" s="15">
        <v>7926784.68</v>
      </c>
      <c r="C61" s="15">
        <f t="shared" si="0"/>
        <v>7198047.04</v>
      </c>
      <c r="D61" s="15">
        <v>728737.64</v>
      </c>
      <c r="E61" s="16">
        <v>761</v>
      </c>
      <c r="F61" s="15">
        <v>136.80075840060073</v>
      </c>
    </row>
    <row r="62" spans="1:6" ht="12.75">
      <c r="A62" s="22">
        <v>39886</v>
      </c>
      <c r="B62" s="15">
        <v>7847039.089999999</v>
      </c>
      <c r="C62" s="15">
        <f t="shared" si="0"/>
        <v>7151295.739999999</v>
      </c>
      <c r="D62" s="15">
        <v>695743.35</v>
      </c>
      <c r="E62" s="16">
        <v>761</v>
      </c>
      <c r="F62" s="15">
        <v>130.606973906514</v>
      </c>
    </row>
    <row r="63" spans="1:6" ht="12.75">
      <c r="A63" s="22">
        <v>39893</v>
      </c>
      <c r="B63" s="15">
        <v>7847407.979999999</v>
      </c>
      <c r="C63" s="15">
        <f t="shared" si="0"/>
        <v>7126543.509999999</v>
      </c>
      <c r="D63" s="15">
        <v>720864.47</v>
      </c>
      <c r="E63" s="16">
        <v>761</v>
      </c>
      <c r="F63" s="15">
        <v>135.32278393091798</v>
      </c>
    </row>
    <row r="64" spans="1:6" ht="12.75">
      <c r="A64" s="22">
        <v>39900</v>
      </c>
      <c r="B64" s="15">
        <v>7130469.849999999</v>
      </c>
      <c r="C64" s="15">
        <f t="shared" si="0"/>
        <v>6465518.819999998</v>
      </c>
      <c r="D64" s="15">
        <v>664951.03</v>
      </c>
      <c r="E64" s="16">
        <v>761</v>
      </c>
      <c r="F64" s="15">
        <v>124.8265496527126</v>
      </c>
    </row>
    <row r="65" ht="12.75">
      <c r="A65" s="22"/>
    </row>
    <row r="66" spans="1:6" ht="13.5" thickBot="1">
      <c r="A66" s="3" t="s">
        <v>8</v>
      </c>
      <c r="B66" s="17">
        <f>SUM(B13:B64)</f>
        <v>410422909.15</v>
      </c>
      <c r="C66" s="17">
        <f>SUM(C13:C64)</f>
        <v>373400529.82</v>
      </c>
      <c r="D66" s="17">
        <f>SUM(D13:D64)</f>
        <v>37022379.32999999</v>
      </c>
      <c r="E66" s="23">
        <f>SUM(E13:E65)/COUNT(E13:E65)</f>
        <v>761</v>
      </c>
      <c r="F66" s="17">
        <f>+D66/SUM(E13:E65)/7</f>
        <v>133.6528690199419</v>
      </c>
    </row>
    <row r="67" spans="2:4" ht="10.5" customHeight="1" thickTop="1">
      <c r="B67" s="18"/>
      <c r="C67" s="18"/>
      <c r="D67" s="18"/>
    </row>
    <row r="68" spans="1:4" s="21" customFormat="1" ht="12.75">
      <c r="A68" s="19"/>
      <c r="B68" s="20"/>
      <c r="C68" s="20"/>
      <c r="D68" s="20"/>
    </row>
  </sheetData>
  <sheetProtection/>
  <mergeCells count="6">
    <mergeCell ref="A5:F5"/>
    <mergeCell ref="A8:F8"/>
    <mergeCell ref="A1:F1"/>
    <mergeCell ref="A2:F2"/>
    <mergeCell ref="A3:F3"/>
    <mergeCell ref="A4:F4"/>
  </mergeCells>
  <hyperlinks>
    <hyperlink ref="A4" r:id="rId1" display="www.vernondowns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PageLayoutView="0" workbookViewId="0" topLeftCell="A1">
      <pane ySplit="11" topLeftCell="A57" activePane="bottomLeft" state="frozen"/>
      <selection pane="topLeft" activeCell="A1" sqref="A1"/>
      <selection pane="bottomLeft" activeCell="A68" sqref="A68"/>
    </sheetView>
  </sheetViews>
  <sheetFormatPr defaultColWidth="9.140625" defaultRowHeight="12.75"/>
  <cols>
    <col min="1" max="1" width="15.7109375" style="3" customWidth="1"/>
    <col min="2" max="4" width="15.7109375" style="15" customWidth="1"/>
    <col min="5" max="5" width="15.7109375" style="16" customWidth="1"/>
    <col min="6" max="6" width="15.7109375" style="15" customWidth="1"/>
  </cols>
  <sheetData>
    <row r="1" spans="1:7" ht="18">
      <c r="A1" s="71" t="s">
        <v>19</v>
      </c>
      <c r="B1" s="71"/>
      <c r="C1" s="71"/>
      <c r="D1" s="71"/>
      <c r="E1" s="71"/>
      <c r="F1" s="71"/>
      <c r="G1" s="25"/>
    </row>
    <row r="2" spans="1:7" ht="15">
      <c r="A2" s="72" t="s">
        <v>15</v>
      </c>
      <c r="B2" s="72"/>
      <c r="C2" s="72"/>
      <c r="D2" s="72"/>
      <c r="E2" s="72"/>
      <c r="F2" s="72"/>
      <c r="G2" s="26"/>
    </row>
    <row r="3" spans="1:7" s="1" customFormat="1" ht="15">
      <c r="A3" s="72" t="s">
        <v>16</v>
      </c>
      <c r="B3" s="72"/>
      <c r="C3" s="72"/>
      <c r="D3" s="72"/>
      <c r="E3" s="72"/>
      <c r="F3" s="72"/>
      <c r="G3" s="26"/>
    </row>
    <row r="4" spans="1:7" s="1" customFormat="1" ht="14.25" customHeight="1">
      <c r="A4" s="63" t="s">
        <v>17</v>
      </c>
      <c r="B4" s="63"/>
      <c r="C4" s="63"/>
      <c r="D4" s="63"/>
      <c r="E4" s="63"/>
      <c r="F4" s="63"/>
      <c r="G4" s="27"/>
    </row>
    <row r="5" spans="1:7" s="1" customFormat="1" ht="14.25">
      <c r="A5" s="73" t="s">
        <v>18</v>
      </c>
      <c r="B5" s="73"/>
      <c r="C5" s="73"/>
      <c r="D5" s="73"/>
      <c r="E5" s="73"/>
      <c r="F5" s="73"/>
      <c r="G5" s="28"/>
    </row>
    <row r="6" spans="1:6" s="1" customFormat="1" ht="14.25">
      <c r="A6" s="2"/>
      <c r="B6" s="2"/>
      <c r="C6" s="2"/>
      <c r="D6" s="2"/>
      <c r="E6" s="2"/>
      <c r="F6" s="2"/>
    </row>
    <row r="7" spans="1:6" s="1" customFormat="1" ht="12.75">
      <c r="A7" s="3"/>
      <c r="B7" s="4"/>
      <c r="C7" s="4"/>
      <c r="D7" s="5"/>
      <c r="E7" s="6"/>
      <c r="F7" s="5"/>
    </row>
    <row r="8" spans="1:6" s="7" customFormat="1" ht="14.25" customHeight="1">
      <c r="A8" s="68" t="s">
        <v>14</v>
      </c>
      <c r="B8" s="69"/>
      <c r="C8" s="69"/>
      <c r="D8" s="69"/>
      <c r="E8" s="69"/>
      <c r="F8" s="70"/>
    </row>
    <row r="9" spans="1:6" s="1" customFormat="1" ht="9" customHeight="1">
      <c r="A9" s="3"/>
      <c r="B9" s="4"/>
      <c r="C9" s="4"/>
      <c r="D9" s="5"/>
      <c r="E9" s="6"/>
      <c r="F9" s="5"/>
    </row>
    <row r="10" spans="1:6" s="12" customFormat="1" ht="12">
      <c r="A10" s="9"/>
      <c r="B10" s="10" t="s">
        <v>0</v>
      </c>
      <c r="C10" s="10" t="s">
        <v>0</v>
      </c>
      <c r="D10" s="10"/>
      <c r="E10" s="11" t="s">
        <v>1</v>
      </c>
      <c r="F10" s="10" t="s">
        <v>2</v>
      </c>
    </row>
    <row r="11" spans="1:6" s="12" customFormat="1" ht="12">
      <c r="A11" s="13" t="s">
        <v>11</v>
      </c>
      <c r="B11" s="8" t="s">
        <v>3</v>
      </c>
      <c r="C11" s="8" t="s">
        <v>4</v>
      </c>
      <c r="D11" s="8" t="s">
        <v>5</v>
      </c>
      <c r="E11" s="14" t="s">
        <v>6</v>
      </c>
      <c r="F11" s="8" t="s">
        <v>7</v>
      </c>
    </row>
    <row r="13" spans="1:6" ht="12.75">
      <c r="A13" s="22">
        <v>39179</v>
      </c>
      <c r="B13" s="15">
        <v>6631133.36</v>
      </c>
      <c r="C13" s="15">
        <f>+B13-D13</f>
        <v>6058478.3100000005</v>
      </c>
      <c r="D13" s="15">
        <v>572655.05</v>
      </c>
      <c r="E13" s="16">
        <v>777</v>
      </c>
      <c r="F13" s="15">
        <v>105.28682662254091</v>
      </c>
    </row>
    <row r="14" spans="1:6" ht="12.75">
      <c r="A14" s="22">
        <v>39186</v>
      </c>
      <c r="B14" s="15">
        <v>7314913.8</v>
      </c>
      <c r="C14" s="15">
        <f aca="true" t="shared" si="0" ref="C14:C64">+B14-D14</f>
        <v>6684705.06</v>
      </c>
      <c r="D14" s="15">
        <v>630208.74</v>
      </c>
      <c r="E14" s="16">
        <v>777</v>
      </c>
      <c r="F14" s="15">
        <v>115.86849420849421</v>
      </c>
    </row>
    <row r="15" spans="1:6" ht="12.75">
      <c r="A15" s="22">
        <v>39193</v>
      </c>
      <c r="B15" s="15">
        <v>6692521.579999999</v>
      </c>
      <c r="C15" s="15">
        <f t="shared" si="0"/>
        <v>6081534.579999999</v>
      </c>
      <c r="D15" s="15">
        <v>610987</v>
      </c>
      <c r="E15" s="16">
        <v>777</v>
      </c>
      <c r="F15" s="15">
        <v>112.33443647729362</v>
      </c>
    </row>
    <row r="16" spans="1:6" ht="12.75">
      <c r="A16" s="22">
        <v>39200</v>
      </c>
      <c r="B16" s="15">
        <v>6585858.399999999</v>
      </c>
      <c r="C16" s="15">
        <f t="shared" si="0"/>
        <v>5983913.51</v>
      </c>
      <c r="D16" s="15">
        <v>601944.89</v>
      </c>
      <c r="E16" s="16">
        <v>777</v>
      </c>
      <c r="F16" s="15">
        <v>110.67197830483545</v>
      </c>
    </row>
    <row r="17" spans="1:6" ht="12.75">
      <c r="A17" s="22">
        <v>39207</v>
      </c>
      <c r="B17" s="15">
        <v>7229124.25</v>
      </c>
      <c r="C17" s="15">
        <f t="shared" si="0"/>
        <v>6565243.12</v>
      </c>
      <c r="D17" s="15">
        <v>663881.13</v>
      </c>
      <c r="E17" s="16">
        <v>777</v>
      </c>
      <c r="F17" s="15">
        <v>122.05940981798125</v>
      </c>
    </row>
    <row r="18" spans="1:6" ht="12.75">
      <c r="A18" s="22">
        <v>39214</v>
      </c>
      <c r="B18" s="15">
        <v>6517295.12</v>
      </c>
      <c r="C18" s="15">
        <f t="shared" si="0"/>
        <v>5947858.23</v>
      </c>
      <c r="D18" s="15">
        <v>569436.89</v>
      </c>
      <c r="E18" s="16">
        <v>777</v>
      </c>
      <c r="F18" s="15">
        <v>104.69514432800148</v>
      </c>
    </row>
    <row r="19" spans="1:6" ht="12.75">
      <c r="A19" s="22">
        <v>39221</v>
      </c>
      <c r="B19" s="15">
        <v>7239305.15</v>
      </c>
      <c r="C19" s="15">
        <f t="shared" si="0"/>
        <v>6628296.7700000005</v>
      </c>
      <c r="D19" s="15">
        <v>611008.38</v>
      </c>
      <c r="E19" s="16">
        <v>763.2857142857143</v>
      </c>
      <c r="F19" s="15">
        <v>114.35679955081413</v>
      </c>
    </row>
    <row r="20" spans="1:6" ht="12.75">
      <c r="A20" s="22">
        <v>39228</v>
      </c>
      <c r="B20" s="15">
        <v>6467994.48</v>
      </c>
      <c r="C20" s="15">
        <f t="shared" si="0"/>
        <v>5866576.850000001</v>
      </c>
      <c r="D20" s="15">
        <v>601417.63</v>
      </c>
      <c r="E20" s="16">
        <v>761</v>
      </c>
      <c r="F20" s="15">
        <v>112.89987422564295</v>
      </c>
    </row>
    <row r="21" spans="1:6" ht="12.75">
      <c r="A21" s="22">
        <v>39235</v>
      </c>
      <c r="B21" s="15">
        <v>6837232.609999999</v>
      </c>
      <c r="C21" s="15">
        <f t="shared" si="0"/>
        <v>6219120.52</v>
      </c>
      <c r="D21" s="15">
        <v>618112.09</v>
      </c>
      <c r="E21" s="16">
        <v>761</v>
      </c>
      <c r="F21" s="15">
        <v>116.03380702083724</v>
      </c>
    </row>
    <row r="22" spans="1:6" ht="12.75">
      <c r="A22" s="22">
        <v>39242</v>
      </c>
      <c r="B22" s="15">
        <v>7255714.959999999</v>
      </c>
      <c r="C22" s="15">
        <f t="shared" si="0"/>
        <v>6627333.77</v>
      </c>
      <c r="D22" s="15">
        <v>628381.19</v>
      </c>
      <c r="E22" s="16">
        <v>761</v>
      </c>
      <c r="F22" s="15">
        <v>117.9615524685564</v>
      </c>
    </row>
    <row r="23" spans="1:6" ht="12.75">
      <c r="A23" s="22">
        <v>39249</v>
      </c>
      <c r="B23" s="15">
        <v>6800023.2700000005</v>
      </c>
      <c r="C23" s="15">
        <f t="shared" si="0"/>
        <v>6185025.130000001</v>
      </c>
      <c r="D23" s="15">
        <v>614998.14</v>
      </c>
      <c r="E23" s="16">
        <v>761</v>
      </c>
      <c r="F23" s="15">
        <v>115.4492472310869</v>
      </c>
    </row>
    <row r="24" spans="1:6" ht="12.75">
      <c r="A24" s="22">
        <v>39256</v>
      </c>
      <c r="B24" s="15">
        <v>7406787.0600000005</v>
      </c>
      <c r="C24" s="15">
        <f t="shared" si="0"/>
        <v>6730285.65</v>
      </c>
      <c r="D24" s="15">
        <v>676501.41</v>
      </c>
      <c r="E24" s="16">
        <v>761</v>
      </c>
      <c r="F24" s="15">
        <v>126.99482072461048</v>
      </c>
    </row>
    <row r="25" spans="1:6" ht="12.75">
      <c r="A25" s="22">
        <v>39263</v>
      </c>
      <c r="B25" s="15">
        <v>6773017.33</v>
      </c>
      <c r="C25" s="15">
        <f t="shared" si="0"/>
        <v>6116665.08</v>
      </c>
      <c r="D25" s="15">
        <v>656352.25</v>
      </c>
      <c r="E25" s="16">
        <v>761</v>
      </c>
      <c r="F25" s="15">
        <v>123.21236155434579</v>
      </c>
    </row>
    <row r="26" spans="1:6" ht="12.75">
      <c r="A26" s="22">
        <v>39270</v>
      </c>
      <c r="B26" s="15">
        <v>8145676.71</v>
      </c>
      <c r="C26" s="15">
        <f t="shared" si="0"/>
        <v>7413221.04</v>
      </c>
      <c r="D26" s="15">
        <v>732455.67</v>
      </c>
      <c r="E26" s="16">
        <v>761</v>
      </c>
      <c r="F26" s="15">
        <v>137.4987178524498</v>
      </c>
    </row>
    <row r="27" spans="1:6" ht="12.75">
      <c r="A27" s="22">
        <v>39277</v>
      </c>
      <c r="B27" s="15">
        <v>7677760.76</v>
      </c>
      <c r="C27" s="15">
        <f t="shared" si="0"/>
        <v>7032175.17</v>
      </c>
      <c r="D27" s="15">
        <v>645585.59</v>
      </c>
      <c r="E27" s="16">
        <v>761</v>
      </c>
      <c r="F27" s="15">
        <v>121.19121269006945</v>
      </c>
    </row>
    <row r="28" spans="1:6" ht="12.75">
      <c r="A28" s="22">
        <v>39284</v>
      </c>
      <c r="B28" s="15">
        <v>8361386.7299999995</v>
      </c>
      <c r="C28" s="15">
        <f t="shared" si="0"/>
        <v>7614089.209999999</v>
      </c>
      <c r="D28" s="15">
        <v>747297.52</v>
      </c>
      <c r="E28" s="16">
        <v>761</v>
      </c>
      <c r="F28" s="15">
        <v>140.28487328702835</v>
      </c>
    </row>
    <row r="29" spans="1:6" ht="12.75">
      <c r="A29" s="22">
        <v>39291</v>
      </c>
      <c r="B29" s="15">
        <v>7688746.58</v>
      </c>
      <c r="C29" s="15">
        <f t="shared" si="0"/>
        <v>7017710.66</v>
      </c>
      <c r="D29" s="15">
        <v>671035.92</v>
      </c>
      <c r="E29" s="16">
        <v>761</v>
      </c>
      <c r="F29" s="15">
        <v>125.96882297728554</v>
      </c>
    </row>
    <row r="30" spans="1:6" ht="12.75">
      <c r="A30" s="22">
        <v>39298</v>
      </c>
      <c r="B30" s="15">
        <v>7551587.24</v>
      </c>
      <c r="C30" s="15">
        <f t="shared" si="0"/>
        <v>6857460.37</v>
      </c>
      <c r="D30" s="15">
        <v>694126.87</v>
      </c>
      <c r="E30" s="16">
        <v>761</v>
      </c>
      <c r="F30" s="15">
        <v>130.3035235592266</v>
      </c>
    </row>
    <row r="31" spans="1:6" ht="12.75">
      <c r="A31" s="22">
        <v>39305</v>
      </c>
      <c r="B31" s="15">
        <v>8180270.59</v>
      </c>
      <c r="C31" s="15">
        <f t="shared" si="0"/>
        <v>7428809.68</v>
      </c>
      <c r="D31" s="15">
        <v>751460.91</v>
      </c>
      <c r="E31" s="16">
        <v>761</v>
      </c>
      <c r="F31" s="15">
        <v>141.06643701896002</v>
      </c>
    </row>
    <row r="32" spans="1:6" ht="12.75">
      <c r="A32" s="22">
        <v>39312</v>
      </c>
      <c r="B32" s="15">
        <v>8064858.19</v>
      </c>
      <c r="C32" s="15">
        <f t="shared" si="0"/>
        <v>7345095.220000001</v>
      </c>
      <c r="D32" s="15">
        <v>719762.97</v>
      </c>
      <c r="E32" s="16">
        <v>761</v>
      </c>
      <c r="F32" s="15">
        <v>135.116007133471</v>
      </c>
    </row>
    <row r="33" spans="1:6" ht="12.75">
      <c r="A33" s="22">
        <v>39319</v>
      </c>
      <c r="B33" s="15">
        <v>8230544.299999999</v>
      </c>
      <c r="C33" s="15">
        <f t="shared" si="0"/>
        <v>7474093.199999999</v>
      </c>
      <c r="D33" s="15">
        <v>756451.1</v>
      </c>
      <c r="E33" s="16">
        <v>761</v>
      </c>
      <c r="F33" s="15">
        <v>142.00321006194855</v>
      </c>
    </row>
    <row r="34" spans="1:6" ht="12.75">
      <c r="A34" s="22">
        <v>39326</v>
      </c>
      <c r="B34" s="15">
        <v>8441691.600000001</v>
      </c>
      <c r="C34" s="15">
        <f t="shared" si="0"/>
        <v>7661394.170000002</v>
      </c>
      <c r="D34" s="15">
        <v>780297.43</v>
      </c>
      <c r="E34" s="16">
        <v>761</v>
      </c>
      <c r="F34" s="15">
        <v>146.4797127839309</v>
      </c>
    </row>
    <row r="35" spans="1:6" ht="12.75">
      <c r="A35" s="22">
        <v>39333</v>
      </c>
      <c r="B35" s="15">
        <v>8605840.120000001</v>
      </c>
      <c r="C35" s="15">
        <f t="shared" si="0"/>
        <v>7808096.3100000005</v>
      </c>
      <c r="D35" s="15">
        <v>797743.81</v>
      </c>
      <c r="E35" s="16">
        <v>761</v>
      </c>
      <c r="F35" s="15">
        <v>149.75479819785994</v>
      </c>
    </row>
    <row r="36" spans="1:6" ht="12.75">
      <c r="A36" s="22">
        <v>39340</v>
      </c>
      <c r="B36" s="15">
        <v>8387994.050000001</v>
      </c>
      <c r="C36" s="15">
        <f t="shared" si="0"/>
        <v>7614124.220000001</v>
      </c>
      <c r="D36" s="15">
        <v>773869.83</v>
      </c>
      <c r="E36" s="16">
        <v>761</v>
      </c>
      <c r="F36" s="15">
        <v>145.27310493711283</v>
      </c>
    </row>
    <row r="37" spans="1:6" ht="12.75">
      <c r="A37" s="22">
        <v>39347</v>
      </c>
      <c r="B37" s="15">
        <v>7800496.830000001</v>
      </c>
      <c r="C37" s="15">
        <f t="shared" si="0"/>
        <v>7133499.130000001</v>
      </c>
      <c r="D37" s="15">
        <v>666997.7</v>
      </c>
      <c r="E37" s="16">
        <v>761</v>
      </c>
      <c r="F37" s="15">
        <v>125.2107565233715</v>
      </c>
    </row>
    <row r="38" spans="1:6" ht="12.75">
      <c r="A38" s="22">
        <v>39354</v>
      </c>
      <c r="B38" s="15">
        <v>8405356.309999999</v>
      </c>
      <c r="C38" s="15">
        <f t="shared" si="0"/>
        <v>7648324.8599999985</v>
      </c>
      <c r="D38" s="15">
        <v>757031.45</v>
      </c>
      <c r="E38" s="16">
        <v>761</v>
      </c>
      <c r="F38" s="15">
        <v>142.11215505913273</v>
      </c>
    </row>
    <row r="39" spans="1:6" ht="12.75">
      <c r="A39" s="22">
        <v>39361</v>
      </c>
      <c r="B39" s="15">
        <v>8150188.8100000005</v>
      </c>
      <c r="C39" s="15">
        <f t="shared" si="0"/>
        <v>7391943.540000001</v>
      </c>
      <c r="D39" s="15">
        <v>758245.27</v>
      </c>
      <c r="E39" s="16">
        <v>761</v>
      </c>
      <c r="F39" s="15">
        <v>142.3400168950629</v>
      </c>
    </row>
    <row r="40" spans="1:6" ht="12.75">
      <c r="A40" s="22">
        <v>39368</v>
      </c>
      <c r="B40" s="15">
        <v>7750340.610000001</v>
      </c>
      <c r="C40" s="15">
        <f t="shared" si="0"/>
        <v>7060427.8900000015</v>
      </c>
      <c r="D40" s="15">
        <v>689912.72</v>
      </c>
      <c r="E40" s="16">
        <v>761</v>
      </c>
      <c r="F40" s="15">
        <v>129.51243101182655</v>
      </c>
    </row>
    <row r="41" spans="1:6" ht="12.75">
      <c r="A41" s="22">
        <v>39375</v>
      </c>
      <c r="B41" s="15">
        <v>7934345.740000001</v>
      </c>
      <c r="C41" s="15">
        <f t="shared" si="0"/>
        <v>7212643.540000001</v>
      </c>
      <c r="D41" s="15">
        <v>721702.2</v>
      </c>
      <c r="E41" s="16">
        <v>761</v>
      </c>
      <c r="F41" s="15">
        <v>135.48004505350102</v>
      </c>
    </row>
    <row r="42" spans="1:6" ht="12.75">
      <c r="A42" s="22">
        <v>39382</v>
      </c>
      <c r="B42" s="15">
        <v>7541605.27</v>
      </c>
      <c r="C42" s="15">
        <f t="shared" si="0"/>
        <v>6830124.989999999</v>
      </c>
      <c r="D42" s="15">
        <v>711480.28</v>
      </c>
      <c r="E42" s="16">
        <v>761</v>
      </c>
      <c r="F42" s="15">
        <v>133.56115637319314</v>
      </c>
    </row>
    <row r="43" spans="1:6" ht="12.75">
      <c r="A43" s="22">
        <v>39389</v>
      </c>
      <c r="B43" s="15">
        <v>7513777.33</v>
      </c>
      <c r="C43" s="15">
        <f t="shared" si="0"/>
        <v>6848021.18</v>
      </c>
      <c r="D43" s="15">
        <v>665756.15</v>
      </c>
      <c r="E43" s="16">
        <v>761</v>
      </c>
      <c r="F43" s="15">
        <v>124.97768913084286</v>
      </c>
    </row>
    <row r="44" spans="1:6" ht="12.75">
      <c r="A44" s="22">
        <v>39396</v>
      </c>
      <c r="B44" s="15">
        <v>7110734.06</v>
      </c>
      <c r="C44" s="15">
        <f t="shared" si="0"/>
        <v>6473281.67</v>
      </c>
      <c r="D44" s="15">
        <v>637452.39</v>
      </c>
      <c r="E44" s="16">
        <v>761</v>
      </c>
      <c r="F44" s="15">
        <v>119.66442462924724</v>
      </c>
    </row>
    <row r="45" spans="1:6" ht="12.75">
      <c r="A45" s="22">
        <v>39403</v>
      </c>
      <c r="B45" s="15">
        <v>6735598</v>
      </c>
      <c r="C45" s="15">
        <f t="shared" si="0"/>
        <v>6171734.39</v>
      </c>
      <c r="D45" s="15">
        <v>563863.61</v>
      </c>
      <c r="E45" s="16">
        <v>761</v>
      </c>
      <c r="F45" s="15">
        <v>105.85012389712783</v>
      </c>
    </row>
    <row r="46" spans="1:6" ht="12.75">
      <c r="A46" s="22">
        <v>39410</v>
      </c>
      <c r="B46" s="15">
        <v>6596511.73</v>
      </c>
      <c r="C46" s="15">
        <f t="shared" si="0"/>
        <v>6015592.550000001</v>
      </c>
      <c r="D46" s="15">
        <v>580919.18</v>
      </c>
      <c r="E46" s="16">
        <v>761</v>
      </c>
      <c r="F46" s="15">
        <v>109.05184531631313</v>
      </c>
    </row>
    <row r="47" spans="1:6" ht="12.75">
      <c r="A47" s="22">
        <v>39417</v>
      </c>
      <c r="B47" s="15">
        <v>5708944.800000001</v>
      </c>
      <c r="C47" s="15">
        <f t="shared" si="0"/>
        <v>5180305.920000001</v>
      </c>
      <c r="D47" s="15">
        <v>528638.88</v>
      </c>
      <c r="E47" s="16">
        <v>761</v>
      </c>
      <c r="F47" s="15">
        <v>99.2376346911958</v>
      </c>
    </row>
    <row r="48" spans="1:6" ht="12.75">
      <c r="A48" s="22">
        <v>39424</v>
      </c>
      <c r="B48" s="15">
        <v>4622547.79</v>
      </c>
      <c r="C48" s="15">
        <f t="shared" si="0"/>
        <v>4183756.7</v>
      </c>
      <c r="D48" s="15">
        <v>438791.09</v>
      </c>
      <c r="E48" s="16">
        <v>761</v>
      </c>
      <c r="F48" s="15">
        <v>82.3711451098179</v>
      </c>
    </row>
    <row r="49" spans="1:6" ht="12.75">
      <c r="A49" s="22">
        <v>39431</v>
      </c>
      <c r="B49" s="15">
        <v>4769320.26</v>
      </c>
      <c r="C49" s="15">
        <f t="shared" si="0"/>
        <v>4359934.899999999</v>
      </c>
      <c r="D49" s="15">
        <v>409385.36</v>
      </c>
      <c r="E49" s="16">
        <v>761</v>
      </c>
      <c r="F49" s="15">
        <v>76.85101558100244</v>
      </c>
    </row>
    <row r="50" spans="1:6" ht="12.75">
      <c r="A50" s="22">
        <v>39438</v>
      </c>
      <c r="B50" s="15">
        <v>4829846.72</v>
      </c>
      <c r="C50" s="15">
        <f t="shared" si="0"/>
        <v>4378085.4799999995</v>
      </c>
      <c r="D50" s="15">
        <v>451761.24</v>
      </c>
      <c r="E50" s="16">
        <v>761</v>
      </c>
      <c r="F50" s="15">
        <v>84.80593955321943</v>
      </c>
    </row>
    <row r="51" spans="1:6" ht="12.75">
      <c r="A51" s="22">
        <v>39445</v>
      </c>
      <c r="B51" s="15">
        <v>5965359.79</v>
      </c>
      <c r="C51" s="15">
        <f t="shared" si="0"/>
        <v>5436368.64</v>
      </c>
      <c r="D51" s="15">
        <v>528991.15</v>
      </c>
      <c r="E51" s="16">
        <v>761</v>
      </c>
      <c r="F51" s="15">
        <v>99.30376384456541</v>
      </c>
    </row>
    <row r="52" spans="1:6" ht="12.75">
      <c r="A52" s="22">
        <v>39452</v>
      </c>
      <c r="B52" s="15">
        <v>7883211.170000001</v>
      </c>
      <c r="C52" s="15">
        <f t="shared" si="0"/>
        <v>7152639.740000001</v>
      </c>
      <c r="D52" s="15">
        <v>730571.43</v>
      </c>
      <c r="E52" s="16">
        <v>761</v>
      </c>
      <c r="F52" s="15">
        <v>137.1450028158438</v>
      </c>
    </row>
    <row r="53" spans="1:6" ht="12.75">
      <c r="A53" s="22">
        <v>39459</v>
      </c>
      <c r="B53" s="15">
        <v>7379978.72</v>
      </c>
      <c r="C53" s="15">
        <f t="shared" si="0"/>
        <v>6713625.4799999995</v>
      </c>
      <c r="D53" s="15">
        <v>666353.24</v>
      </c>
      <c r="E53" s="16">
        <v>761</v>
      </c>
      <c r="F53" s="15">
        <v>125.08977660972404</v>
      </c>
    </row>
    <row r="54" spans="1:6" ht="12.75">
      <c r="A54" s="22">
        <v>39466</v>
      </c>
      <c r="B54" s="15">
        <v>6501375.800000001</v>
      </c>
      <c r="C54" s="15">
        <f t="shared" si="0"/>
        <v>5874990.840000001</v>
      </c>
      <c r="D54" s="15">
        <v>626384.96</v>
      </c>
      <c r="E54" s="16">
        <v>761</v>
      </c>
      <c r="F54" s="15">
        <v>117.58681434203116</v>
      </c>
    </row>
    <row r="55" spans="1:6" ht="12.75">
      <c r="A55" s="22">
        <v>39473</v>
      </c>
      <c r="B55" s="15">
        <v>6514185.24</v>
      </c>
      <c r="C55" s="15">
        <f t="shared" si="0"/>
        <v>5947264.65</v>
      </c>
      <c r="D55" s="15">
        <v>566920.59</v>
      </c>
      <c r="E55" s="16">
        <v>761</v>
      </c>
      <c r="F55" s="15">
        <v>106.4239891120706</v>
      </c>
    </row>
    <row r="56" spans="1:6" ht="12.75">
      <c r="A56" s="22">
        <v>39480</v>
      </c>
      <c r="B56" s="15">
        <v>6556092.859999999</v>
      </c>
      <c r="C56" s="15">
        <f t="shared" si="0"/>
        <v>5995766.06</v>
      </c>
      <c r="D56" s="15">
        <v>560326.8</v>
      </c>
      <c r="E56" s="16">
        <v>761</v>
      </c>
      <c r="F56" s="15">
        <v>105.18618359301672</v>
      </c>
    </row>
    <row r="57" spans="1:6" ht="12.75">
      <c r="A57" s="22">
        <v>39487</v>
      </c>
      <c r="B57" s="15">
        <v>8198300.35</v>
      </c>
      <c r="C57" s="15">
        <f t="shared" si="0"/>
        <v>7505282.029999999</v>
      </c>
      <c r="D57" s="15">
        <v>693018.32</v>
      </c>
      <c r="E57" s="16">
        <v>761</v>
      </c>
      <c r="F57" s="15">
        <v>130.09542331518676</v>
      </c>
    </row>
    <row r="58" spans="1:6" ht="12.75">
      <c r="A58" s="22">
        <v>39494</v>
      </c>
      <c r="B58" s="15">
        <v>5558036.09</v>
      </c>
      <c r="C58" s="15">
        <f t="shared" si="0"/>
        <v>5064657.02</v>
      </c>
      <c r="D58" s="15">
        <v>493379.07</v>
      </c>
      <c r="E58" s="16">
        <v>761</v>
      </c>
      <c r="F58" s="15">
        <v>92.61856016519617</v>
      </c>
    </row>
    <row r="59" spans="1:6" ht="12.75">
      <c r="A59" s="22">
        <v>39501</v>
      </c>
      <c r="B59" s="15">
        <v>8277364.5</v>
      </c>
      <c r="C59" s="15">
        <f t="shared" si="0"/>
        <v>7542610.6</v>
      </c>
      <c r="D59" s="15">
        <v>734753.9</v>
      </c>
      <c r="E59" s="16">
        <v>761</v>
      </c>
      <c r="F59" s="15">
        <v>137.93014830110758</v>
      </c>
    </row>
    <row r="60" spans="1:6" ht="12.75">
      <c r="A60" s="22">
        <v>39508</v>
      </c>
      <c r="B60" s="15">
        <v>6566929.919999999</v>
      </c>
      <c r="C60" s="15">
        <f t="shared" si="0"/>
        <v>5944812.8999999985</v>
      </c>
      <c r="D60" s="15">
        <v>622117.02</v>
      </c>
      <c r="E60" s="16">
        <v>761</v>
      </c>
      <c r="F60" s="15">
        <v>116.78562417871223</v>
      </c>
    </row>
    <row r="61" spans="1:6" ht="12.75">
      <c r="A61" s="22">
        <v>39515</v>
      </c>
      <c r="B61" s="15">
        <v>7429863.53</v>
      </c>
      <c r="C61" s="15">
        <f t="shared" si="0"/>
        <v>6781930.48</v>
      </c>
      <c r="D61" s="15">
        <v>647933.05</v>
      </c>
      <c r="E61" s="16">
        <v>761</v>
      </c>
      <c r="F61" s="15">
        <v>121.63188473812652</v>
      </c>
    </row>
    <row r="62" spans="1:6" ht="12.75">
      <c r="A62" s="22">
        <v>39522</v>
      </c>
      <c r="B62" s="15">
        <v>8246886.540000001</v>
      </c>
      <c r="C62" s="15">
        <f t="shared" si="0"/>
        <v>7546115.658000001</v>
      </c>
      <c r="D62" s="15">
        <v>700770.882</v>
      </c>
      <c r="E62" s="16">
        <v>761</v>
      </c>
      <c r="F62" s="15">
        <v>131.55075689881735</v>
      </c>
    </row>
    <row r="63" spans="1:6" ht="12.75">
      <c r="A63" s="22">
        <v>39529</v>
      </c>
      <c r="B63" s="15">
        <v>8509137.22</v>
      </c>
      <c r="C63" s="15">
        <f t="shared" si="0"/>
        <v>7738338.73</v>
      </c>
      <c r="D63" s="15">
        <v>770798.49</v>
      </c>
      <c r="E63" s="16">
        <v>761</v>
      </c>
      <c r="F63" s="15">
        <v>144.69654402102495</v>
      </c>
    </row>
    <row r="64" spans="1:6" ht="12.75">
      <c r="A64" s="22">
        <v>39536</v>
      </c>
      <c r="B64" s="15">
        <v>8143048.82</v>
      </c>
      <c r="C64" s="15">
        <f t="shared" si="0"/>
        <v>7412800.630000001</v>
      </c>
      <c r="D64" s="15">
        <v>730248.19</v>
      </c>
      <c r="E64" s="16">
        <v>761</v>
      </c>
      <c r="F64" s="15">
        <v>137.08432325886992</v>
      </c>
    </row>
    <row r="65" ht="12.75">
      <c r="A65" s="22"/>
    </row>
    <row r="66" spans="1:6" ht="13.5" thickBot="1">
      <c r="A66" s="3" t="s">
        <v>8</v>
      </c>
      <c r="B66" s="17">
        <f>SUM(B13:B64)</f>
        <v>376286663.05000025</v>
      </c>
      <c r="C66" s="17">
        <f>SUM(C13:C64)</f>
        <v>342506186.0279999</v>
      </c>
      <c r="D66" s="17">
        <f>SUM(D13:D64)</f>
        <v>33780477.021999985</v>
      </c>
      <c r="E66" s="23">
        <f>SUM(E13:E64)/COUNT(E13:E64)</f>
        <v>762.8901098901098</v>
      </c>
      <c r="F66" s="17">
        <f>+D66/SUM(E13:E64)/7</f>
        <v>121.64728195986916</v>
      </c>
    </row>
    <row r="67" spans="2:4" ht="10.5" customHeight="1" thickTop="1">
      <c r="B67" s="18"/>
      <c r="C67" s="18"/>
      <c r="D67" s="18"/>
    </row>
    <row r="68" spans="1:6" s="21" customFormat="1" ht="12.75">
      <c r="A68" s="19"/>
      <c r="B68" s="18"/>
      <c r="C68" s="20"/>
      <c r="D68" s="18"/>
      <c r="F68" s="15"/>
    </row>
  </sheetData>
  <sheetProtection/>
  <mergeCells count="6">
    <mergeCell ref="A5:F5"/>
    <mergeCell ref="A8:F8"/>
    <mergeCell ref="A1:F1"/>
    <mergeCell ref="A2:F2"/>
    <mergeCell ref="A3:F3"/>
    <mergeCell ref="A4:F4"/>
  </mergeCells>
  <hyperlinks>
    <hyperlink ref="A4" r:id="rId1" display="www.vernondowns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PageLayoutView="0" workbookViewId="0" topLeftCell="A1">
      <pane ySplit="11" topLeftCell="A56" activePane="bottomLeft" state="frozen"/>
      <selection pane="topLeft" activeCell="A1" sqref="A1"/>
      <selection pane="bottomLeft" activeCell="A68" sqref="A68"/>
    </sheetView>
  </sheetViews>
  <sheetFormatPr defaultColWidth="9.140625" defaultRowHeight="12.75"/>
  <cols>
    <col min="1" max="1" width="15.7109375" style="22" customWidth="1"/>
    <col min="2" max="4" width="15.7109375" style="15" customWidth="1"/>
    <col min="5" max="5" width="15.7109375" style="16" customWidth="1"/>
    <col min="6" max="6" width="15.7109375" style="15" customWidth="1"/>
  </cols>
  <sheetData>
    <row r="1" spans="1:7" ht="18">
      <c r="A1" s="71" t="s">
        <v>19</v>
      </c>
      <c r="B1" s="71"/>
      <c r="C1" s="71"/>
      <c r="D1" s="71"/>
      <c r="E1" s="71"/>
      <c r="F1" s="71"/>
      <c r="G1" s="25"/>
    </row>
    <row r="2" spans="1:7" ht="15">
      <c r="A2" s="72" t="s">
        <v>15</v>
      </c>
      <c r="B2" s="72"/>
      <c r="C2" s="72"/>
      <c r="D2" s="72"/>
      <c r="E2" s="72"/>
      <c r="F2" s="72"/>
      <c r="G2" s="26"/>
    </row>
    <row r="3" spans="1:7" s="1" customFormat="1" ht="15">
      <c r="A3" s="72" t="s">
        <v>16</v>
      </c>
      <c r="B3" s="72"/>
      <c r="C3" s="72"/>
      <c r="D3" s="72"/>
      <c r="E3" s="72"/>
      <c r="F3" s="72"/>
      <c r="G3" s="26"/>
    </row>
    <row r="4" spans="1:7" s="1" customFormat="1" ht="14.25" customHeight="1">
      <c r="A4" s="63" t="s">
        <v>17</v>
      </c>
      <c r="B4" s="63"/>
      <c r="C4" s="63"/>
      <c r="D4" s="63"/>
      <c r="E4" s="63"/>
      <c r="F4" s="63"/>
      <c r="G4" s="27"/>
    </row>
    <row r="5" spans="1:7" s="1" customFormat="1" ht="14.25">
      <c r="A5" s="73" t="s">
        <v>18</v>
      </c>
      <c r="B5" s="73"/>
      <c r="C5" s="73"/>
      <c r="D5" s="73"/>
      <c r="E5" s="73"/>
      <c r="F5" s="73"/>
      <c r="G5" s="28"/>
    </row>
    <row r="6" spans="1:6" s="1" customFormat="1" ht="14.25">
      <c r="A6" s="29"/>
      <c r="B6" s="2"/>
      <c r="C6" s="2"/>
      <c r="D6" s="2"/>
      <c r="E6" s="2"/>
      <c r="F6" s="2"/>
    </row>
    <row r="7" spans="1:6" s="1" customFormat="1" ht="12.75">
      <c r="A7" s="22"/>
      <c r="B7" s="4"/>
      <c r="C7" s="4"/>
      <c r="D7" s="5"/>
      <c r="E7" s="6"/>
      <c r="F7" s="5"/>
    </row>
    <row r="8" spans="1:6" s="7" customFormat="1" ht="14.25" customHeight="1">
      <c r="A8" s="68" t="s">
        <v>13</v>
      </c>
      <c r="B8" s="69"/>
      <c r="C8" s="69"/>
      <c r="D8" s="69"/>
      <c r="E8" s="69"/>
      <c r="F8" s="70"/>
    </row>
    <row r="9" spans="1:6" s="1" customFormat="1" ht="9" customHeight="1">
      <c r="A9" s="22"/>
      <c r="B9" s="4"/>
      <c r="C9" s="4"/>
      <c r="D9" s="5"/>
      <c r="E9" s="6"/>
      <c r="F9" s="5"/>
    </row>
    <row r="10" spans="1:6" s="12" customFormat="1" ht="12">
      <c r="A10" s="30"/>
      <c r="B10" s="10" t="s">
        <v>0</v>
      </c>
      <c r="C10" s="10" t="s">
        <v>0</v>
      </c>
      <c r="D10" s="10"/>
      <c r="E10" s="11" t="s">
        <v>1</v>
      </c>
      <c r="F10" s="10" t="s">
        <v>2</v>
      </c>
    </row>
    <row r="11" spans="1:6" s="12" customFormat="1" ht="12">
      <c r="A11" s="31" t="s">
        <v>11</v>
      </c>
      <c r="B11" s="8" t="s">
        <v>3</v>
      </c>
      <c r="C11" s="8" t="s">
        <v>4</v>
      </c>
      <c r="D11" s="8" t="s">
        <v>5</v>
      </c>
      <c r="E11" s="14" t="s">
        <v>6</v>
      </c>
      <c r="F11" s="8" t="s">
        <v>7</v>
      </c>
    </row>
    <row r="13" spans="1:6" ht="12.75">
      <c r="A13" s="22">
        <v>38815</v>
      </c>
      <c r="B13" s="15">
        <v>0</v>
      </c>
      <c r="C13" s="15">
        <v>0</v>
      </c>
      <c r="D13" s="15">
        <v>0</v>
      </c>
      <c r="E13" s="16">
        <v>0</v>
      </c>
      <c r="F13" s="15">
        <v>0</v>
      </c>
    </row>
    <row r="14" spans="1:6" ht="12.75">
      <c r="A14" s="22">
        <v>38822</v>
      </c>
      <c r="B14" s="15">
        <v>0</v>
      </c>
      <c r="C14" s="15">
        <v>0</v>
      </c>
      <c r="D14" s="15">
        <v>0</v>
      </c>
      <c r="E14" s="16">
        <v>0</v>
      </c>
      <c r="F14" s="15">
        <v>0</v>
      </c>
    </row>
    <row r="15" spans="1:6" ht="12.75">
      <c r="A15" s="22">
        <v>38829</v>
      </c>
      <c r="B15" s="15">
        <v>0</v>
      </c>
      <c r="C15" s="15">
        <v>0</v>
      </c>
      <c r="D15" s="15">
        <v>0</v>
      </c>
      <c r="E15" s="16">
        <v>0</v>
      </c>
      <c r="F15" s="15">
        <v>0</v>
      </c>
    </row>
    <row r="16" spans="1:6" ht="12.75">
      <c r="A16" s="22">
        <v>38836</v>
      </c>
      <c r="B16" s="15">
        <v>0</v>
      </c>
      <c r="C16" s="15">
        <v>0</v>
      </c>
      <c r="D16" s="15">
        <v>0</v>
      </c>
      <c r="E16" s="16">
        <v>0</v>
      </c>
      <c r="F16" s="15">
        <v>0</v>
      </c>
    </row>
    <row r="17" spans="1:6" ht="12.75">
      <c r="A17" s="22">
        <v>38843</v>
      </c>
      <c r="B17" s="15">
        <v>0</v>
      </c>
      <c r="C17" s="15">
        <v>0</v>
      </c>
      <c r="D17" s="15">
        <v>0</v>
      </c>
      <c r="E17" s="16">
        <v>0</v>
      </c>
      <c r="F17" s="15">
        <v>0</v>
      </c>
    </row>
    <row r="18" spans="1:6" ht="12.75">
      <c r="A18" s="22">
        <v>38850</v>
      </c>
      <c r="B18" s="15">
        <v>0</v>
      </c>
      <c r="C18" s="15">
        <v>0</v>
      </c>
      <c r="D18" s="15">
        <v>0</v>
      </c>
      <c r="E18" s="16">
        <v>0</v>
      </c>
      <c r="F18" s="15">
        <v>0</v>
      </c>
    </row>
    <row r="19" spans="1:6" ht="12.75">
      <c r="A19" s="22">
        <v>38857</v>
      </c>
      <c r="B19" s="15">
        <v>0</v>
      </c>
      <c r="C19" s="15">
        <v>0</v>
      </c>
      <c r="D19" s="15">
        <v>0</v>
      </c>
      <c r="E19" s="16">
        <v>0</v>
      </c>
      <c r="F19" s="15">
        <v>0</v>
      </c>
    </row>
    <row r="20" spans="1:6" ht="12.75">
      <c r="A20" s="22">
        <v>38864</v>
      </c>
      <c r="B20" s="15">
        <v>0</v>
      </c>
      <c r="C20" s="15">
        <v>0</v>
      </c>
      <c r="D20" s="15">
        <v>0</v>
      </c>
      <c r="E20" s="16">
        <v>0</v>
      </c>
      <c r="F20" s="15">
        <v>0</v>
      </c>
    </row>
    <row r="21" spans="1:6" ht="12.75">
      <c r="A21" s="22">
        <v>38871</v>
      </c>
      <c r="B21" s="15">
        <v>0</v>
      </c>
      <c r="C21" s="15">
        <v>0</v>
      </c>
      <c r="D21" s="15">
        <v>0</v>
      </c>
      <c r="E21" s="16">
        <v>0</v>
      </c>
      <c r="F21" s="15">
        <v>0</v>
      </c>
    </row>
    <row r="22" spans="1:6" ht="12.75">
      <c r="A22" s="22">
        <v>38878</v>
      </c>
      <c r="B22" s="15">
        <v>0</v>
      </c>
      <c r="C22" s="15">
        <v>0</v>
      </c>
      <c r="D22" s="15">
        <v>0</v>
      </c>
      <c r="E22" s="16">
        <v>0</v>
      </c>
      <c r="F22" s="15">
        <v>0</v>
      </c>
    </row>
    <row r="23" spans="1:6" ht="12.75">
      <c r="A23" s="22">
        <v>38885</v>
      </c>
      <c r="B23" s="15">
        <v>0</v>
      </c>
      <c r="C23" s="15">
        <v>0</v>
      </c>
      <c r="D23" s="15">
        <v>0</v>
      </c>
      <c r="E23" s="16">
        <v>0</v>
      </c>
      <c r="F23" s="15">
        <v>0</v>
      </c>
    </row>
    <row r="24" spans="1:6" ht="12.75">
      <c r="A24" s="22">
        <v>38892</v>
      </c>
      <c r="B24" s="15">
        <v>0</v>
      </c>
      <c r="C24" s="15">
        <v>0</v>
      </c>
      <c r="D24" s="15">
        <v>0</v>
      </c>
      <c r="E24" s="16">
        <v>0</v>
      </c>
      <c r="F24" s="15">
        <v>0</v>
      </c>
    </row>
    <row r="25" spans="1:6" ht="12.75">
      <c r="A25" s="22">
        <v>38899</v>
      </c>
      <c r="B25" s="15">
        <v>0</v>
      </c>
      <c r="C25" s="15">
        <v>0</v>
      </c>
      <c r="D25" s="15">
        <v>0</v>
      </c>
      <c r="E25" s="16">
        <v>0</v>
      </c>
      <c r="F25" s="15">
        <v>0</v>
      </c>
    </row>
    <row r="26" spans="1:6" ht="12.75">
      <c r="A26" s="22">
        <v>38906</v>
      </c>
      <c r="B26" s="15">
        <v>0</v>
      </c>
      <c r="C26" s="15">
        <v>0</v>
      </c>
      <c r="D26" s="15">
        <v>0</v>
      </c>
      <c r="E26" s="16">
        <v>0</v>
      </c>
      <c r="F26" s="15">
        <v>0</v>
      </c>
    </row>
    <row r="27" spans="1:6" ht="12.75">
      <c r="A27" s="22">
        <v>38913</v>
      </c>
      <c r="B27" s="15">
        <v>0</v>
      </c>
      <c r="C27" s="15">
        <v>0</v>
      </c>
      <c r="D27" s="15">
        <v>0</v>
      </c>
      <c r="E27" s="16">
        <v>0</v>
      </c>
      <c r="F27" s="15">
        <v>0</v>
      </c>
    </row>
    <row r="28" spans="1:6" ht="12.75">
      <c r="A28" s="22">
        <v>38920</v>
      </c>
      <c r="B28" s="15">
        <v>0</v>
      </c>
      <c r="C28" s="15">
        <v>0</v>
      </c>
      <c r="D28" s="15">
        <v>0</v>
      </c>
      <c r="E28" s="16">
        <v>0</v>
      </c>
      <c r="F28" s="15">
        <v>0</v>
      </c>
    </row>
    <row r="29" spans="1:6" ht="12.75">
      <c r="A29" s="22">
        <v>38927</v>
      </c>
      <c r="B29" s="15">
        <v>0</v>
      </c>
      <c r="C29" s="15">
        <v>0</v>
      </c>
      <c r="D29" s="15">
        <v>0</v>
      </c>
      <c r="E29" s="16">
        <v>0</v>
      </c>
      <c r="F29" s="15">
        <v>0</v>
      </c>
    </row>
    <row r="30" spans="1:6" ht="12.75">
      <c r="A30" s="22">
        <v>38934</v>
      </c>
      <c r="B30" s="15">
        <v>0</v>
      </c>
      <c r="C30" s="15">
        <v>0</v>
      </c>
      <c r="D30" s="15">
        <v>0</v>
      </c>
      <c r="E30" s="16">
        <v>0</v>
      </c>
      <c r="F30" s="15">
        <v>0</v>
      </c>
    </row>
    <row r="31" spans="1:6" ht="12.75">
      <c r="A31" s="22">
        <v>38941</v>
      </c>
      <c r="B31" s="15">
        <v>0</v>
      </c>
      <c r="C31" s="15">
        <v>0</v>
      </c>
      <c r="D31" s="15">
        <v>0</v>
      </c>
      <c r="E31" s="16">
        <v>0</v>
      </c>
      <c r="F31" s="15">
        <v>0</v>
      </c>
    </row>
    <row r="32" spans="1:6" ht="12.75">
      <c r="A32" s="22">
        <v>38948</v>
      </c>
      <c r="B32" s="15">
        <v>0</v>
      </c>
      <c r="C32" s="15">
        <v>0</v>
      </c>
      <c r="D32" s="15">
        <v>0</v>
      </c>
      <c r="E32" s="16">
        <v>0</v>
      </c>
      <c r="F32" s="15">
        <v>0</v>
      </c>
    </row>
    <row r="33" spans="1:6" ht="12.75">
      <c r="A33" s="22">
        <v>38955</v>
      </c>
      <c r="B33" s="15">
        <v>0</v>
      </c>
      <c r="C33" s="15">
        <v>0</v>
      </c>
      <c r="D33" s="15">
        <v>0</v>
      </c>
      <c r="E33" s="16">
        <v>0</v>
      </c>
      <c r="F33" s="15">
        <v>0</v>
      </c>
    </row>
    <row r="34" spans="1:6" ht="12.75">
      <c r="A34" s="22">
        <v>38962</v>
      </c>
      <c r="B34" s="15">
        <v>0</v>
      </c>
      <c r="C34" s="15">
        <v>0</v>
      </c>
      <c r="D34" s="15">
        <v>0</v>
      </c>
      <c r="E34" s="16">
        <v>0</v>
      </c>
      <c r="F34" s="15">
        <v>0</v>
      </c>
    </row>
    <row r="35" spans="1:6" ht="12.75">
      <c r="A35" s="22">
        <v>38969</v>
      </c>
      <c r="B35" s="15">
        <v>0</v>
      </c>
      <c r="C35" s="15">
        <v>0</v>
      </c>
      <c r="D35" s="15">
        <v>0</v>
      </c>
      <c r="E35" s="16">
        <v>0</v>
      </c>
      <c r="F35" s="15">
        <v>0</v>
      </c>
    </row>
    <row r="36" spans="1:6" ht="12.75">
      <c r="A36" s="22">
        <v>38976</v>
      </c>
      <c r="B36" s="15">
        <v>0</v>
      </c>
      <c r="C36" s="15">
        <v>0</v>
      </c>
      <c r="D36" s="15">
        <v>0</v>
      </c>
      <c r="E36" s="16">
        <v>0</v>
      </c>
      <c r="F36" s="15">
        <v>0</v>
      </c>
    </row>
    <row r="37" spans="1:6" ht="12.75">
      <c r="A37" s="22">
        <v>38983</v>
      </c>
      <c r="B37" s="15">
        <v>0</v>
      </c>
      <c r="C37" s="15">
        <v>0</v>
      </c>
      <c r="D37" s="15">
        <v>0</v>
      </c>
      <c r="E37" s="16">
        <v>0</v>
      </c>
      <c r="F37" s="15">
        <v>0</v>
      </c>
    </row>
    <row r="38" spans="1:6" ht="12.75">
      <c r="A38" s="22">
        <v>38990</v>
      </c>
      <c r="B38" s="15">
        <v>0</v>
      </c>
      <c r="C38" s="15">
        <v>0</v>
      </c>
      <c r="D38" s="15">
        <v>0</v>
      </c>
      <c r="E38" s="16">
        <v>0</v>
      </c>
      <c r="F38" s="15">
        <v>0</v>
      </c>
    </row>
    <row r="39" spans="1:6" ht="12.75">
      <c r="A39" s="22">
        <v>38997</v>
      </c>
      <c r="B39" s="15">
        <v>0</v>
      </c>
      <c r="C39" s="15">
        <v>0</v>
      </c>
      <c r="D39" s="15">
        <v>0</v>
      </c>
      <c r="E39" s="16">
        <v>0</v>
      </c>
      <c r="F39" s="15">
        <v>0</v>
      </c>
    </row>
    <row r="40" spans="1:6" ht="12.75">
      <c r="A40" s="22">
        <v>39004</v>
      </c>
      <c r="B40" s="15">
        <v>0</v>
      </c>
      <c r="C40" s="15">
        <v>0</v>
      </c>
      <c r="D40" s="15">
        <v>0</v>
      </c>
      <c r="E40" s="16">
        <v>0</v>
      </c>
      <c r="F40" s="15">
        <v>0</v>
      </c>
    </row>
    <row r="41" spans="1:6" ht="12.75">
      <c r="A41" s="22">
        <v>39011</v>
      </c>
      <c r="B41" s="15">
        <v>0</v>
      </c>
      <c r="C41" s="15">
        <v>0</v>
      </c>
      <c r="D41" s="15">
        <v>0</v>
      </c>
      <c r="E41" s="16">
        <v>0</v>
      </c>
      <c r="F41" s="15">
        <v>0</v>
      </c>
    </row>
    <row r="42" spans="1:6" ht="12.75">
      <c r="A42" s="22">
        <v>39018</v>
      </c>
      <c r="B42" s="15">
        <v>8358299.25</v>
      </c>
      <c r="C42" s="15">
        <f aca="true" t="shared" si="0" ref="C42:C64">+B42-D42</f>
        <v>7662072.58</v>
      </c>
      <c r="D42" s="15">
        <v>696226.67</v>
      </c>
      <c r="E42" s="16">
        <v>777</v>
      </c>
      <c r="F42" s="15">
        <v>298.6815401115401</v>
      </c>
    </row>
    <row r="43" spans="1:6" ht="12.75">
      <c r="A43" s="22">
        <v>39025</v>
      </c>
      <c r="B43" s="15">
        <v>11876559.589999998</v>
      </c>
      <c r="C43" s="15">
        <f t="shared" si="0"/>
        <v>10854604.859999998</v>
      </c>
      <c r="D43" s="15">
        <v>1021954.73</v>
      </c>
      <c r="E43" s="16">
        <v>777</v>
      </c>
      <c r="F43" s="15">
        <v>187.89386468100759</v>
      </c>
    </row>
    <row r="44" spans="1:6" ht="12.75">
      <c r="A44" s="22">
        <v>39032</v>
      </c>
      <c r="B44" s="15">
        <v>10457290.489999998</v>
      </c>
      <c r="C44" s="15">
        <f t="shared" si="0"/>
        <v>9541316.509999998</v>
      </c>
      <c r="D44" s="15">
        <v>915973.98</v>
      </c>
      <c r="E44" s="16">
        <v>777</v>
      </c>
      <c r="F44" s="15">
        <v>168.408527302813</v>
      </c>
    </row>
    <row r="45" spans="1:6" ht="12.75">
      <c r="A45" s="22">
        <v>39039</v>
      </c>
      <c r="B45" s="15">
        <v>8798332.520000001</v>
      </c>
      <c r="C45" s="15">
        <f t="shared" si="0"/>
        <v>7992582.210000001</v>
      </c>
      <c r="D45" s="15">
        <v>805750.31</v>
      </c>
      <c r="E45" s="16">
        <v>777</v>
      </c>
      <c r="F45" s="15">
        <v>148.14309799595512</v>
      </c>
    </row>
    <row r="46" spans="1:6" ht="12.75">
      <c r="A46" s="22">
        <v>39046</v>
      </c>
      <c r="B46" s="15">
        <v>8040039.700000001</v>
      </c>
      <c r="C46" s="15">
        <f t="shared" si="0"/>
        <v>7329266.970000001</v>
      </c>
      <c r="D46" s="15">
        <v>710772.73</v>
      </c>
      <c r="E46" s="16">
        <v>777</v>
      </c>
      <c r="F46" s="15">
        <v>130.68077403934547</v>
      </c>
    </row>
    <row r="47" spans="1:6" ht="12.75">
      <c r="A47" s="22">
        <v>39053</v>
      </c>
      <c r="B47" s="15">
        <v>8030087.85</v>
      </c>
      <c r="C47" s="15">
        <f t="shared" si="0"/>
        <v>7334893.9399999995</v>
      </c>
      <c r="D47" s="15">
        <v>695193.91</v>
      </c>
      <c r="E47" s="16">
        <v>777</v>
      </c>
      <c r="F47" s="15">
        <v>127.81649384077956</v>
      </c>
    </row>
    <row r="48" spans="1:6" ht="12.75">
      <c r="A48" s="22">
        <v>39060</v>
      </c>
      <c r="B48" s="15">
        <v>6285841.500000001</v>
      </c>
      <c r="C48" s="15">
        <f t="shared" si="0"/>
        <v>5756091.950000001</v>
      </c>
      <c r="D48" s="15">
        <v>529749.55</v>
      </c>
      <c r="E48" s="16">
        <v>777</v>
      </c>
      <c r="F48" s="15">
        <v>97.39833609119324</v>
      </c>
    </row>
    <row r="49" spans="1:6" ht="12.75">
      <c r="A49" s="22">
        <v>39067</v>
      </c>
      <c r="B49" s="15">
        <v>6665075.4</v>
      </c>
      <c r="C49" s="15">
        <f t="shared" si="0"/>
        <v>6060659.84</v>
      </c>
      <c r="D49" s="15">
        <v>604415.56</v>
      </c>
      <c r="E49" s="16">
        <v>777</v>
      </c>
      <c r="F49" s="15">
        <v>111.12622908622907</v>
      </c>
    </row>
    <row r="50" spans="1:6" ht="12.75">
      <c r="A50" s="22">
        <v>39074</v>
      </c>
      <c r="B50" s="15">
        <v>5783883.04</v>
      </c>
      <c r="C50" s="15">
        <f t="shared" si="0"/>
        <v>5272436.28</v>
      </c>
      <c r="D50" s="15">
        <v>511446.76</v>
      </c>
      <c r="E50" s="16">
        <v>777</v>
      </c>
      <c r="F50" s="15">
        <v>94.0332340503769</v>
      </c>
    </row>
    <row r="51" spans="1:6" ht="12.75">
      <c r="A51" s="22">
        <v>39081</v>
      </c>
      <c r="B51" s="15">
        <v>6729516.68</v>
      </c>
      <c r="C51" s="15">
        <f t="shared" si="0"/>
        <v>6168994.96</v>
      </c>
      <c r="D51" s="15">
        <v>560521.72</v>
      </c>
      <c r="E51" s="16">
        <v>777</v>
      </c>
      <c r="F51" s="15">
        <v>103.0560250045964</v>
      </c>
    </row>
    <row r="52" spans="1:6" ht="12.75">
      <c r="A52" s="22">
        <v>39088</v>
      </c>
      <c r="B52" s="15">
        <v>7999079.9</v>
      </c>
      <c r="C52" s="15">
        <f t="shared" si="0"/>
        <v>7328305.67</v>
      </c>
      <c r="D52" s="15">
        <v>670774.23</v>
      </c>
      <c r="E52" s="16">
        <v>777</v>
      </c>
      <c r="F52" s="15">
        <v>123.32675675675675</v>
      </c>
    </row>
    <row r="53" spans="1:6" ht="12.75">
      <c r="A53" s="22">
        <v>39095</v>
      </c>
      <c r="B53" s="15">
        <v>6064705.77</v>
      </c>
      <c r="C53" s="15">
        <f t="shared" si="0"/>
        <v>5525595.3</v>
      </c>
      <c r="D53" s="15">
        <v>539110.47</v>
      </c>
      <c r="E53" s="16">
        <v>777</v>
      </c>
      <c r="F53" s="15">
        <v>99.11940981798124</v>
      </c>
    </row>
    <row r="54" spans="1:6" ht="12.75">
      <c r="A54" s="22">
        <v>39102</v>
      </c>
      <c r="B54" s="15">
        <v>5448720.3</v>
      </c>
      <c r="C54" s="15">
        <f t="shared" si="0"/>
        <v>4967667.67</v>
      </c>
      <c r="D54" s="15">
        <v>481052.63</v>
      </c>
      <c r="E54" s="16">
        <v>777</v>
      </c>
      <c r="F54" s="15">
        <v>88.44505056076484</v>
      </c>
    </row>
    <row r="55" spans="1:6" ht="12.75">
      <c r="A55" s="22">
        <v>39109</v>
      </c>
      <c r="B55" s="15">
        <v>5626248.71</v>
      </c>
      <c r="C55" s="15">
        <f t="shared" si="0"/>
        <v>5084818.37</v>
      </c>
      <c r="D55" s="15">
        <v>541430.34</v>
      </c>
      <c r="E55" s="16">
        <v>777</v>
      </c>
      <c r="F55" s="15">
        <v>99.54593491450636</v>
      </c>
    </row>
    <row r="56" spans="1:6" ht="12.75">
      <c r="A56" s="22">
        <v>39116</v>
      </c>
      <c r="B56" s="15">
        <v>5651702.059999999</v>
      </c>
      <c r="C56" s="15">
        <f t="shared" si="0"/>
        <v>5172010.479999999</v>
      </c>
      <c r="D56" s="15">
        <v>479691.58</v>
      </c>
      <c r="E56" s="16">
        <v>777</v>
      </c>
      <c r="F56" s="15">
        <v>88.19481154624013</v>
      </c>
    </row>
    <row r="57" spans="1:6" ht="12.75">
      <c r="A57" s="22">
        <v>39123</v>
      </c>
      <c r="B57" s="15">
        <v>4085418.94</v>
      </c>
      <c r="C57" s="15">
        <f t="shared" si="0"/>
        <v>3715722.44</v>
      </c>
      <c r="D57" s="15">
        <v>369696.5</v>
      </c>
      <c r="E57" s="16">
        <v>777</v>
      </c>
      <c r="F57" s="15">
        <v>67.9714101856959</v>
      </c>
    </row>
    <row r="58" spans="1:6" ht="12.75">
      <c r="A58" s="22">
        <v>39130</v>
      </c>
      <c r="B58" s="15">
        <v>4212989.67</v>
      </c>
      <c r="C58" s="15">
        <f t="shared" si="0"/>
        <v>3823084.2199999997</v>
      </c>
      <c r="D58" s="15">
        <v>389905.45</v>
      </c>
      <c r="E58" s="16">
        <v>777</v>
      </c>
      <c r="F58" s="15">
        <v>71.68697370840228</v>
      </c>
    </row>
    <row r="59" spans="1:6" ht="12.75">
      <c r="A59" s="22">
        <v>39137</v>
      </c>
      <c r="B59" s="15">
        <v>5142460.19</v>
      </c>
      <c r="C59" s="15">
        <f t="shared" si="0"/>
        <v>4672606.800000001</v>
      </c>
      <c r="D59" s="15">
        <v>469853.39</v>
      </c>
      <c r="E59" s="16">
        <v>777</v>
      </c>
      <c r="F59" s="15">
        <v>86.38598823313109</v>
      </c>
    </row>
    <row r="60" spans="1:6" ht="12.75">
      <c r="A60" s="22">
        <v>39144</v>
      </c>
      <c r="B60" s="15">
        <v>6215343.0200000005</v>
      </c>
      <c r="C60" s="15">
        <f t="shared" si="0"/>
        <v>5626057.010000001</v>
      </c>
      <c r="D60" s="15">
        <v>589286.01</v>
      </c>
      <c r="E60" s="16">
        <v>777</v>
      </c>
      <c r="F60" s="15">
        <v>108.34455046883619</v>
      </c>
    </row>
    <row r="61" spans="1:6" ht="12.75">
      <c r="A61" s="22">
        <v>39151</v>
      </c>
      <c r="B61" s="15">
        <v>5705906.379999999</v>
      </c>
      <c r="C61" s="15">
        <f t="shared" si="0"/>
        <v>5194965.639999999</v>
      </c>
      <c r="D61" s="15">
        <v>510940.74</v>
      </c>
      <c r="E61" s="16">
        <v>777</v>
      </c>
      <c r="F61" s="15">
        <v>93.94019856591287</v>
      </c>
    </row>
    <row r="62" spans="1:6" ht="12.75">
      <c r="A62" s="22">
        <v>39158</v>
      </c>
      <c r="B62" s="15">
        <v>5663156.5600000005</v>
      </c>
      <c r="C62" s="15">
        <f t="shared" si="0"/>
        <v>5151519.760000001</v>
      </c>
      <c r="D62" s="15">
        <v>511636.8</v>
      </c>
      <c r="E62" s="16">
        <v>777</v>
      </c>
      <c r="F62" s="15">
        <v>94.06817429674572</v>
      </c>
    </row>
    <row r="63" spans="1:6" ht="12.75">
      <c r="A63" s="24">
        <v>39165</v>
      </c>
      <c r="B63" s="15">
        <v>6823340.49</v>
      </c>
      <c r="C63" s="15">
        <f t="shared" si="0"/>
        <v>6201764.84</v>
      </c>
      <c r="D63" s="15">
        <v>621575.65</v>
      </c>
      <c r="E63" s="16">
        <v>777</v>
      </c>
      <c r="F63" s="15">
        <v>114.2812373598088</v>
      </c>
    </row>
    <row r="64" spans="1:6" ht="12.75">
      <c r="A64" s="32">
        <v>39172</v>
      </c>
      <c r="B64" s="15">
        <v>6407694.58</v>
      </c>
      <c r="C64" s="15">
        <f t="shared" si="0"/>
        <v>5857800.8100000005</v>
      </c>
      <c r="D64" s="15">
        <v>549893.77</v>
      </c>
      <c r="E64" s="16">
        <v>777</v>
      </c>
      <c r="F64" s="15">
        <v>101.10199852914138</v>
      </c>
    </row>
    <row r="66" spans="1:6" ht="13.5" thickBot="1">
      <c r="A66" s="24" t="s">
        <v>12</v>
      </c>
      <c r="B66" s="17">
        <f>SUM(B42:B64)</f>
        <v>156071692.59000003</v>
      </c>
      <c r="C66" s="17">
        <f>SUM(C42:C64)</f>
        <v>142294839.11</v>
      </c>
      <c r="D66" s="17">
        <f>SUM(D42:D64)</f>
        <v>13776853.479999999</v>
      </c>
      <c r="E66" s="23">
        <f>SUM(E42:E64)/COUNT(E42:E64)</f>
        <v>777</v>
      </c>
      <c r="F66" s="17">
        <v>113</v>
      </c>
    </row>
    <row r="67" spans="2:4" ht="12.75" customHeight="1" thickTop="1">
      <c r="B67" s="18"/>
      <c r="C67" s="18"/>
      <c r="D67" s="18"/>
    </row>
    <row r="68" spans="1:6" s="21" customFormat="1" ht="12.75">
      <c r="A68" s="22"/>
      <c r="B68" s="18"/>
      <c r="C68" s="18"/>
      <c r="D68" s="18"/>
      <c r="F68" s="15"/>
    </row>
  </sheetData>
  <sheetProtection/>
  <mergeCells count="6">
    <mergeCell ref="A5:F5"/>
    <mergeCell ref="A8:F8"/>
    <mergeCell ref="A1:F1"/>
    <mergeCell ref="A2:F2"/>
    <mergeCell ref="A3:F3"/>
    <mergeCell ref="A4:F4"/>
  </mergeCells>
  <hyperlinks>
    <hyperlink ref="A4" r:id="rId1" display="www.vernondowns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PageLayoutView="0" workbookViewId="0" topLeftCell="A1">
      <pane ySplit="10" topLeftCell="A56" activePane="bottomLeft" state="frozen"/>
      <selection pane="topLeft" activeCell="A1" sqref="A1"/>
      <selection pane="bottomLeft" activeCell="A63" sqref="A63"/>
    </sheetView>
  </sheetViews>
  <sheetFormatPr defaultColWidth="9.140625" defaultRowHeight="12.75"/>
  <cols>
    <col min="1" max="1" width="15.7109375" style="36" customWidth="1"/>
    <col min="2" max="5" width="15.7109375" style="34" customWidth="1"/>
    <col min="6" max="6" width="15.7109375" style="35" customWidth="1"/>
    <col min="7" max="7" width="15.7109375" style="34" customWidth="1"/>
    <col min="8" max="16384" width="9.140625" style="33" customWidth="1"/>
  </cols>
  <sheetData>
    <row r="1" spans="1:11" ht="18">
      <c r="A1" s="61" t="s">
        <v>19</v>
      </c>
      <c r="B1" s="61"/>
      <c r="C1" s="61"/>
      <c r="D1" s="61"/>
      <c r="E1" s="61"/>
      <c r="F1" s="61"/>
      <c r="G1" s="61"/>
      <c r="H1" s="58"/>
      <c r="I1" s="58"/>
      <c r="J1" s="58"/>
      <c r="K1" s="58"/>
    </row>
    <row r="2" spans="1:11" ht="15">
      <c r="A2" s="62" t="s">
        <v>15</v>
      </c>
      <c r="B2" s="62"/>
      <c r="C2" s="62"/>
      <c r="D2" s="62"/>
      <c r="E2" s="62"/>
      <c r="F2" s="62"/>
      <c r="G2" s="62"/>
      <c r="H2" s="57"/>
      <c r="I2" s="57"/>
      <c r="J2" s="57"/>
      <c r="K2" s="57"/>
    </row>
    <row r="3" spans="1:11" s="50" customFormat="1" ht="15">
      <c r="A3" s="62" t="s">
        <v>16</v>
      </c>
      <c r="B3" s="62"/>
      <c r="C3" s="62"/>
      <c r="D3" s="62"/>
      <c r="E3" s="62"/>
      <c r="F3" s="62"/>
      <c r="G3" s="62"/>
      <c r="H3" s="57"/>
      <c r="I3" s="57"/>
      <c r="J3" s="57"/>
      <c r="K3" s="57"/>
    </row>
    <row r="4" spans="1:11" s="50" customFormat="1" ht="14.25" customHeight="1">
      <c r="A4" s="63" t="s">
        <v>17</v>
      </c>
      <c r="B4" s="63"/>
      <c r="C4" s="63"/>
      <c r="D4" s="63"/>
      <c r="E4" s="63"/>
      <c r="F4" s="63"/>
      <c r="G4" s="63"/>
      <c r="H4" s="27"/>
      <c r="I4" s="27"/>
      <c r="J4" s="27"/>
      <c r="K4" s="27"/>
    </row>
    <row r="5" spans="1:11" s="50" customFormat="1" ht="14.25">
      <c r="A5" s="64" t="s">
        <v>18</v>
      </c>
      <c r="B5" s="64"/>
      <c r="C5" s="64"/>
      <c r="D5" s="64"/>
      <c r="E5" s="64"/>
      <c r="F5" s="64"/>
      <c r="G5" s="64"/>
      <c r="H5" s="56"/>
      <c r="I5" s="56"/>
      <c r="J5" s="56"/>
      <c r="K5" s="56"/>
    </row>
    <row r="6" spans="1:11" s="50" customFormat="1" ht="21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7" s="54" customFormat="1" ht="14.25" customHeight="1">
      <c r="A7" s="65" t="s">
        <v>35</v>
      </c>
      <c r="B7" s="66"/>
      <c r="C7" s="66"/>
      <c r="D7" s="66"/>
      <c r="E7" s="66"/>
      <c r="F7" s="66"/>
      <c r="G7" s="67"/>
    </row>
    <row r="8" spans="1:7" s="50" customFormat="1" ht="9" customHeight="1">
      <c r="A8" s="36"/>
      <c r="B8" s="53"/>
      <c r="C8" s="53"/>
      <c r="D8" s="53"/>
      <c r="E8" s="51"/>
      <c r="F8" s="52"/>
      <c r="G8" s="51"/>
    </row>
    <row r="9" spans="1:7" s="43" customFormat="1" ht="12">
      <c r="A9" s="49"/>
      <c r="B9" s="47" t="s">
        <v>0</v>
      </c>
      <c r="C9" s="47" t="s">
        <v>22</v>
      </c>
      <c r="D9" s="47" t="s">
        <v>0</v>
      </c>
      <c r="E9" s="47"/>
      <c r="F9" s="48" t="s">
        <v>1</v>
      </c>
      <c r="G9" s="47" t="s">
        <v>2</v>
      </c>
    </row>
    <row r="10" spans="1:7" s="43" customFormat="1" ht="12">
      <c r="A10" s="46" t="s">
        <v>11</v>
      </c>
      <c r="B10" s="44" t="s">
        <v>3</v>
      </c>
      <c r="C10" s="44" t="s">
        <v>24</v>
      </c>
      <c r="D10" s="44" t="s">
        <v>4</v>
      </c>
      <c r="E10" s="44" t="s">
        <v>5</v>
      </c>
      <c r="F10" s="45" t="s">
        <v>6</v>
      </c>
      <c r="G10" s="44" t="s">
        <v>7</v>
      </c>
    </row>
    <row r="12" spans="1:7" ht="12.75">
      <c r="A12" s="22">
        <v>45017</v>
      </c>
      <c r="B12" s="34">
        <v>9152048.299999999</v>
      </c>
      <c r="C12" s="34">
        <v>76804.12</v>
      </c>
      <c r="D12" s="34">
        <f aca="true" t="shared" si="0" ref="D12:D63">IF(ISBLANK(B12),"",B12-C12-E12)</f>
        <v>8434614.57</v>
      </c>
      <c r="E12" s="34">
        <v>640629.61</v>
      </c>
      <c r="F12" s="35">
        <v>512</v>
      </c>
      <c r="G12" s="34">
        <f aca="true" t="shared" si="1" ref="G12:G35">IF(ISBLANK(B12),"",E12/F12/7)</f>
        <v>178.74710100446427</v>
      </c>
    </row>
    <row r="13" spans="1:7" ht="12.75">
      <c r="A13" s="42">
        <f aca="true" t="shared" si="2" ref="A13:A63">+A12+7</f>
        <v>45024</v>
      </c>
      <c r="B13" s="34">
        <v>8585374.79</v>
      </c>
      <c r="C13" s="34">
        <v>70344.5</v>
      </c>
      <c r="D13" s="34">
        <f>IF(ISBLANK(B13),"",B13-C13-E13)</f>
        <v>7823834.919999999</v>
      </c>
      <c r="E13" s="34">
        <v>691195.3699999998</v>
      </c>
      <c r="F13" s="35">
        <v>512</v>
      </c>
      <c r="G13" s="34">
        <f t="shared" si="1"/>
        <v>192.85585100446423</v>
      </c>
    </row>
    <row r="14" spans="1:7" ht="12.75">
      <c r="A14" s="42">
        <f t="shared" si="2"/>
        <v>45031</v>
      </c>
      <c r="B14" s="34">
        <v>8622113.47</v>
      </c>
      <c r="C14" s="34">
        <v>100390.64</v>
      </c>
      <c r="D14" s="34">
        <f t="shared" si="0"/>
        <v>7885902.930000001</v>
      </c>
      <c r="E14" s="34">
        <v>635819.8999999997</v>
      </c>
      <c r="F14" s="35">
        <v>512</v>
      </c>
      <c r="G14" s="34">
        <f t="shared" si="1"/>
        <v>177.40510602678563</v>
      </c>
    </row>
    <row r="15" spans="1:7" ht="12.75">
      <c r="A15" s="42">
        <f t="shared" si="2"/>
        <v>45038</v>
      </c>
      <c r="B15" s="34">
        <v>8470813.05</v>
      </c>
      <c r="C15" s="34">
        <v>103439.51999999999</v>
      </c>
      <c r="D15" s="34">
        <f>IF(ISBLANK(B15),"",B15-C15-E15)</f>
        <v>7704795.840000001</v>
      </c>
      <c r="E15" s="34">
        <v>662577.6900000001</v>
      </c>
      <c r="F15" s="35">
        <v>512</v>
      </c>
      <c r="G15" s="34">
        <f t="shared" si="1"/>
        <v>184.8710072544643</v>
      </c>
    </row>
    <row r="16" spans="1:7" ht="12.75">
      <c r="A16" s="42">
        <f t="shared" si="2"/>
        <v>45045</v>
      </c>
      <c r="B16" s="34">
        <v>9276915.68</v>
      </c>
      <c r="C16" s="34">
        <v>103514.36</v>
      </c>
      <c r="D16" s="34">
        <f>IF(ISBLANK(B16),"",B16-C16-E16)</f>
        <v>8506193.26</v>
      </c>
      <c r="E16" s="34">
        <v>667208.0599999997</v>
      </c>
      <c r="F16" s="35">
        <v>512</v>
      </c>
      <c r="G16" s="34">
        <f t="shared" si="1"/>
        <v>186.16296316964278</v>
      </c>
    </row>
    <row r="17" spans="1:7" ht="12.75">
      <c r="A17" s="42">
        <f t="shared" si="2"/>
        <v>45052</v>
      </c>
      <c r="B17" s="34">
        <v>8946821.27</v>
      </c>
      <c r="C17" s="34">
        <v>109787.79</v>
      </c>
      <c r="D17" s="34">
        <f>IF(ISBLANK(B17),"",B17-C17-E17)</f>
        <v>8116138.050000001</v>
      </c>
      <c r="E17" s="34">
        <v>720895.4299999998</v>
      </c>
      <c r="F17" s="35">
        <v>512</v>
      </c>
      <c r="G17" s="34">
        <f t="shared" si="1"/>
        <v>201.1426981026785</v>
      </c>
    </row>
    <row r="18" spans="1:7" ht="12.75">
      <c r="A18" s="42">
        <f t="shared" si="2"/>
        <v>45059</v>
      </c>
      <c r="B18" s="34">
        <v>8199419.24</v>
      </c>
      <c r="C18" s="34">
        <v>101343.57</v>
      </c>
      <c r="D18" s="34">
        <f aca="true" t="shared" si="3" ref="D18:D35">IF(ISBLANK(B18),"",B18-C18-E18)</f>
        <v>7557294.7700000005</v>
      </c>
      <c r="E18" s="34">
        <v>540780.8999999998</v>
      </c>
      <c r="F18" s="35">
        <v>512</v>
      </c>
      <c r="G18" s="34">
        <f t="shared" si="1"/>
        <v>150.88752790178566</v>
      </c>
    </row>
    <row r="19" spans="1:7" ht="12.75">
      <c r="A19" s="42">
        <f t="shared" si="2"/>
        <v>45066</v>
      </c>
      <c r="B19" s="34">
        <v>8214533.52</v>
      </c>
      <c r="C19" s="34">
        <v>73431.9</v>
      </c>
      <c r="D19" s="34">
        <f t="shared" si="3"/>
        <v>7486135.879999999</v>
      </c>
      <c r="E19" s="34">
        <v>654965.7399999998</v>
      </c>
      <c r="F19" s="35">
        <v>512</v>
      </c>
      <c r="G19" s="34">
        <f t="shared" si="1"/>
        <v>182.74713727678565</v>
      </c>
    </row>
    <row r="20" spans="1:7" ht="12.75">
      <c r="A20" s="42">
        <f t="shared" si="2"/>
        <v>45073</v>
      </c>
      <c r="B20" s="34">
        <v>7871428.029999999</v>
      </c>
      <c r="C20" s="34">
        <v>104710.26000000001</v>
      </c>
      <c r="D20" s="34">
        <f t="shared" si="3"/>
        <v>7165630.64</v>
      </c>
      <c r="E20" s="34">
        <v>601087.1299999999</v>
      </c>
      <c r="F20" s="35">
        <v>512</v>
      </c>
      <c r="G20" s="34">
        <f t="shared" si="1"/>
        <v>167.71404296874996</v>
      </c>
    </row>
    <row r="21" spans="1:7" ht="12.75">
      <c r="A21" s="42">
        <f t="shared" si="2"/>
        <v>45080</v>
      </c>
      <c r="B21" s="34">
        <v>9559205.26</v>
      </c>
      <c r="C21" s="34">
        <v>102527.8</v>
      </c>
      <c r="D21" s="34">
        <f t="shared" si="3"/>
        <v>8748585.189999998</v>
      </c>
      <c r="E21" s="34">
        <v>708092.2700000006</v>
      </c>
      <c r="F21" s="35">
        <v>512</v>
      </c>
      <c r="G21" s="34">
        <f t="shared" si="1"/>
        <v>197.5703878348216</v>
      </c>
    </row>
    <row r="22" spans="1:7" ht="12.75">
      <c r="A22" s="42">
        <f t="shared" si="2"/>
        <v>45087</v>
      </c>
      <c r="B22" s="34">
        <v>8050749.83</v>
      </c>
      <c r="C22" s="34">
        <v>97819.51</v>
      </c>
      <c r="D22" s="34">
        <f t="shared" si="3"/>
        <v>7368053.55</v>
      </c>
      <c r="E22" s="34">
        <v>584876.7700000003</v>
      </c>
      <c r="F22" s="35">
        <v>512</v>
      </c>
      <c r="G22" s="34">
        <f t="shared" si="1"/>
        <v>163.19106305803578</v>
      </c>
    </row>
    <row r="23" spans="1:7" ht="12.75">
      <c r="A23" s="42">
        <f t="shared" si="2"/>
        <v>45094</v>
      </c>
      <c r="B23" s="34">
        <v>8088129.19</v>
      </c>
      <c r="C23" s="34">
        <v>74944.54</v>
      </c>
      <c r="D23" s="34">
        <f t="shared" si="3"/>
        <v>7413807.84</v>
      </c>
      <c r="E23" s="34">
        <v>599376.81</v>
      </c>
      <c r="F23" s="35">
        <v>512</v>
      </c>
      <c r="G23" s="34">
        <f t="shared" si="1"/>
        <v>167.23683314732145</v>
      </c>
    </row>
    <row r="24" spans="1:7" ht="12.75">
      <c r="A24" s="42">
        <f t="shared" si="2"/>
        <v>45101</v>
      </c>
      <c r="B24" s="34">
        <v>8574434.650000002</v>
      </c>
      <c r="C24" s="59">
        <v>105074.95999999999</v>
      </c>
      <c r="D24" s="34">
        <f t="shared" si="3"/>
        <v>7835796.530000001</v>
      </c>
      <c r="E24" s="34">
        <v>633563.1600000001</v>
      </c>
      <c r="F24" s="35">
        <v>512</v>
      </c>
      <c r="G24" s="34">
        <f t="shared" si="1"/>
        <v>176.77543526785718</v>
      </c>
    </row>
    <row r="25" spans="1:7" ht="12.75">
      <c r="A25" s="42">
        <f t="shared" si="2"/>
        <v>45108</v>
      </c>
      <c r="B25" s="34">
        <v>9461320.870000001</v>
      </c>
      <c r="C25" s="34">
        <v>120308.05</v>
      </c>
      <c r="D25" s="34">
        <f t="shared" si="3"/>
        <v>8592678.72</v>
      </c>
      <c r="E25" s="34">
        <v>748334.1000000001</v>
      </c>
      <c r="F25" s="35">
        <v>512</v>
      </c>
      <c r="G25" s="34">
        <f t="shared" si="1"/>
        <v>208.7985770089286</v>
      </c>
    </row>
    <row r="26" spans="1:7" ht="12.75">
      <c r="A26" s="42">
        <f t="shared" si="2"/>
        <v>45115</v>
      </c>
      <c r="B26" s="34">
        <v>9363972.79</v>
      </c>
      <c r="C26" s="34">
        <v>105977.43</v>
      </c>
      <c r="D26" s="34">
        <f t="shared" si="3"/>
        <v>8542170.799999999</v>
      </c>
      <c r="E26" s="34">
        <v>715824.5600000005</v>
      </c>
      <c r="F26" s="35">
        <v>512</v>
      </c>
      <c r="G26" s="34">
        <f t="shared" si="1"/>
        <v>199.72783482142873</v>
      </c>
    </row>
    <row r="27" spans="1:7" ht="12.75">
      <c r="A27" s="42">
        <f t="shared" si="2"/>
        <v>45122</v>
      </c>
      <c r="B27" s="34">
        <v>8327254.1499999985</v>
      </c>
      <c r="C27" s="34">
        <v>63672.17</v>
      </c>
      <c r="D27" s="34">
        <f t="shared" si="3"/>
        <v>7594284.869999998</v>
      </c>
      <c r="E27" s="34">
        <v>669297.11</v>
      </c>
      <c r="F27" s="35">
        <v>512</v>
      </c>
      <c r="G27" s="34">
        <f t="shared" si="1"/>
        <v>186.74584542410713</v>
      </c>
    </row>
    <row r="28" spans="1:7" ht="12.75">
      <c r="A28" s="42">
        <f t="shared" si="2"/>
        <v>45129</v>
      </c>
      <c r="B28" s="34">
        <v>8430178.299999999</v>
      </c>
      <c r="C28" s="34">
        <v>103500.25</v>
      </c>
      <c r="D28" s="34">
        <f t="shared" si="3"/>
        <v>7667466.049999999</v>
      </c>
      <c r="E28" s="34">
        <v>659212.0000000002</v>
      </c>
      <c r="F28" s="35">
        <v>512</v>
      </c>
      <c r="G28" s="34">
        <f t="shared" si="1"/>
        <v>183.9319196428572</v>
      </c>
    </row>
    <row r="29" spans="1:7" ht="12.75">
      <c r="A29" s="42">
        <f t="shared" si="2"/>
        <v>45136</v>
      </c>
      <c r="B29" s="34">
        <v>8848628.200000001</v>
      </c>
      <c r="C29" s="34">
        <v>107739.54000000001</v>
      </c>
      <c r="D29" s="34">
        <f t="shared" si="3"/>
        <v>8081057.820000002</v>
      </c>
      <c r="E29" s="34">
        <v>659830.84</v>
      </c>
      <c r="F29" s="35">
        <v>512</v>
      </c>
      <c r="G29" s="34">
        <f t="shared" si="1"/>
        <v>184.1045870535714</v>
      </c>
    </row>
    <row r="30" spans="1:7" ht="12.75">
      <c r="A30" s="42">
        <f t="shared" si="2"/>
        <v>45143</v>
      </c>
      <c r="B30" s="34">
        <v>8157650.369999999</v>
      </c>
      <c r="C30" s="34">
        <v>90840.4</v>
      </c>
      <c r="D30" s="34">
        <f t="shared" si="3"/>
        <v>7484872.499999998</v>
      </c>
      <c r="E30" s="34">
        <v>581937.4700000002</v>
      </c>
      <c r="F30" s="35">
        <v>512</v>
      </c>
      <c r="G30" s="34">
        <f t="shared" si="1"/>
        <v>162.37094587053576</v>
      </c>
    </row>
    <row r="31" spans="1:7" ht="12.75">
      <c r="A31" s="42">
        <f t="shared" si="2"/>
        <v>45150</v>
      </c>
      <c r="B31" s="34">
        <v>8985061.94</v>
      </c>
      <c r="C31" s="34">
        <v>78245.69</v>
      </c>
      <c r="D31" s="34">
        <f t="shared" si="3"/>
        <v>8279140.930000001</v>
      </c>
      <c r="E31" s="34">
        <v>627675.3199999996</v>
      </c>
      <c r="F31" s="35">
        <v>512</v>
      </c>
      <c r="G31" s="34">
        <f t="shared" si="1"/>
        <v>175.13262276785704</v>
      </c>
    </row>
    <row r="32" spans="1:7" ht="12.75">
      <c r="A32" s="42">
        <f t="shared" si="2"/>
        <v>45157</v>
      </c>
      <c r="B32" s="34">
        <v>8555967.91</v>
      </c>
      <c r="C32" s="34">
        <v>108077.34</v>
      </c>
      <c r="D32" s="34">
        <f t="shared" si="3"/>
        <v>7806313.58</v>
      </c>
      <c r="E32" s="34">
        <v>641576.99</v>
      </c>
      <c r="F32" s="35">
        <v>512</v>
      </c>
      <c r="G32" s="34">
        <f t="shared" si="1"/>
        <v>179.0114369419643</v>
      </c>
    </row>
    <row r="33" spans="1:7" ht="12.75">
      <c r="A33" s="42">
        <f t="shared" si="2"/>
        <v>45164</v>
      </c>
      <c r="B33" s="34">
        <v>8430819.69</v>
      </c>
      <c r="C33" s="34">
        <v>108692.94</v>
      </c>
      <c r="D33" s="34">
        <f t="shared" si="3"/>
        <v>7663951.269999999</v>
      </c>
      <c r="E33" s="34">
        <v>658175.4800000001</v>
      </c>
      <c r="F33" s="35">
        <v>512</v>
      </c>
      <c r="G33" s="34">
        <f t="shared" si="1"/>
        <v>183.64271205357144</v>
      </c>
    </row>
    <row r="34" spans="1:7" ht="12.75">
      <c r="A34" s="42">
        <f t="shared" si="2"/>
        <v>45171</v>
      </c>
      <c r="B34" s="34">
        <v>8684510.54</v>
      </c>
      <c r="C34" s="34">
        <v>112796.48999999999</v>
      </c>
      <c r="D34" s="34">
        <f t="shared" si="3"/>
        <v>7935982.559999999</v>
      </c>
      <c r="E34" s="34">
        <v>635731.4900000002</v>
      </c>
      <c r="F34" s="35">
        <v>512</v>
      </c>
      <c r="G34" s="34">
        <f t="shared" si="1"/>
        <v>177.38043805803576</v>
      </c>
    </row>
    <row r="35" spans="1:7" ht="12.75">
      <c r="A35" s="42">
        <f t="shared" si="2"/>
        <v>45178</v>
      </c>
      <c r="B35" s="34">
        <v>9979379.809999999</v>
      </c>
      <c r="C35" s="34">
        <v>128343.34</v>
      </c>
      <c r="D35" s="34">
        <f t="shared" si="3"/>
        <v>9127632.389999999</v>
      </c>
      <c r="E35" s="34">
        <v>723404.0799999998</v>
      </c>
      <c r="F35" s="35">
        <v>512</v>
      </c>
      <c r="G35" s="34">
        <f t="shared" si="1"/>
        <v>201.84265624999995</v>
      </c>
    </row>
    <row r="36" spans="1:7" ht="12.75">
      <c r="A36" s="42">
        <f t="shared" si="2"/>
        <v>45185</v>
      </c>
      <c r="B36" s="34">
        <v>7897996.55</v>
      </c>
      <c r="C36" s="34">
        <v>78373.27</v>
      </c>
      <c r="D36" s="34">
        <f t="shared" si="0"/>
        <v>7165220.96</v>
      </c>
      <c r="E36" s="34">
        <v>654402.32</v>
      </c>
      <c r="F36" s="35">
        <v>512</v>
      </c>
      <c r="G36" s="34">
        <f>IF(ISBLANK(B36),"",E36/F36/7)</f>
        <v>182.58993303571427</v>
      </c>
    </row>
    <row r="37" spans="1:7" ht="12.75">
      <c r="A37" s="42">
        <f t="shared" si="2"/>
        <v>45192</v>
      </c>
      <c r="B37" s="34">
        <v>7829762.670000002</v>
      </c>
      <c r="C37" s="34">
        <v>97229.9</v>
      </c>
      <c r="D37" s="34">
        <f t="shared" si="0"/>
        <v>7149009.900000001</v>
      </c>
      <c r="E37" s="34">
        <v>583522.8700000003</v>
      </c>
      <c r="F37" s="35">
        <v>512</v>
      </c>
      <c r="G37" s="34">
        <f aca="true" t="shared" si="4" ref="G37:G63">IF(ISBLANK(B37),"",E37/F37/7)</f>
        <v>162.8133007812501</v>
      </c>
    </row>
    <row r="38" spans="1:7" ht="12.75">
      <c r="A38" s="42">
        <f t="shared" si="2"/>
        <v>45199</v>
      </c>
      <c r="B38" s="34">
        <v>8282026.09</v>
      </c>
      <c r="C38" s="34">
        <v>100841.61</v>
      </c>
      <c r="D38" s="34">
        <f t="shared" si="0"/>
        <v>7572723.279999999</v>
      </c>
      <c r="E38" s="34">
        <v>608461.1999999997</v>
      </c>
      <c r="F38" s="35">
        <v>512</v>
      </c>
      <c r="G38" s="34">
        <f t="shared" si="4"/>
        <v>169.77154017857134</v>
      </c>
    </row>
    <row r="39" spans="1:7" ht="12.75">
      <c r="A39" s="42">
        <f t="shared" si="2"/>
        <v>45206</v>
      </c>
      <c r="B39" s="60">
        <v>8551965.729999999</v>
      </c>
      <c r="C39" s="60">
        <v>138012</v>
      </c>
      <c r="D39" s="34">
        <f t="shared" si="0"/>
        <v>7839868.179999998</v>
      </c>
      <c r="E39" s="60">
        <v>574085.5500000003</v>
      </c>
      <c r="F39" s="35">
        <v>512</v>
      </c>
      <c r="G39" s="34">
        <f t="shared" si="4"/>
        <v>160.18011997767866</v>
      </c>
    </row>
    <row r="40" spans="1:7" ht="12.75">
      <c r="A40" s="42">
        <f t="shared" si="2"/>
        <v>45213</v>
      </c>
      <c r="B40" s="34">
        <v>8400621.91</v>
      </c>
      <c r="C40" s="34">
        <v>108996.55000000002</v>
      </c>
      <c r="D40" s="34">
        <f t="shared" si="0"/>
        <v>7636190.25</v>
      </c>
      <c r="E40" s="60">
        <v>655435.1100000001</v>
      </c>
      <c r="F40" s="35">
        <v>512</v>
      </c>
      <c r="G40" s="34">
        <f t="shared" si="4"/>
        <v>182.87809988839288</v>
      </c>
    </row>
    <row r="41" spans="1:7" ht="12.75">
      <c r="A41" s="42">
        <f t="shared" si="2"/>
        <v>45220</v>
      </c>
      <c r="B41" s="34">
        <v>8302801.07</v>
      </c>
      <c r="C41" s="34">
        <v>75278.21</v>
      </c>
      <c r="D41" s="34">
        <f t="shared" si="0"/>
        <v>7604435.090000001</v>
      </c>
      <c r="E41" s="34">
        <v>623087.7699999999</v>
      </c>
      <c r="F41" s="35">
        <v>512</v>
      </c>
      <c r="G41" s="34">
        <f t="shared" si="4"/>
        <v>173.8526143973214</v>
      </c>
    </row>
    <row r="42" spans="1:7" ht="12.75">
      <c r="A42" s="42">
        <f t="shared" si="2"/>
        <v>45227</v>
      </c>
      <c r="B42" s="34">
        <v>8328643.539999999</v>
      </c>
      <c r="C42" s="34">
        <v>107962</v>
      </c>
      <c r="D42" s="34">
        <f t="shared" si="0"/>
        <v>7650410.489999999</v>
      </c>
      <c r="E42" s="34">
        <v>570271.0499999997</v>
      </c>
      <c r="F42" s="35">
        <v>512</v>
      </c>
      <c r="G42" s="34">
        <f t="shared" si="4"/>
        <v>159.11580636160707</v>
      </c>
    </row>
    <row r="43" spans="1:7" ht="12.75">
      <c r="A43" s="42">
        <f t="shared" si="2"/>
        <v>45234</v>
      </c>
      <c r="B43" s="34">
        <v>7765473.750000001</v>
      </c>
      <c r="C43" s="34">
        <v>86941.52000000002</v>
      </c>
      <c r="D43" s="34">
        <f t="shared" si="0"/>
        <v>7147679.17</v>
      </c>
      <c r="E43" s="34">
        <v>530853.0600000003</v>
      </c>
      <c r="F43" s="35">
        <v>512</v>
      </c>
      <c r="G43" s="34">
        <f t="shared" si="4"/>
        <v>148.11748325892864</v>
      </c>
    </row>
    <row r="44" spans="1:7" ht="12.75">
      <c r="A44" s="42">
        <f t="shared" si="2"/>
        <v>45241</v>
      </c>
      <c r="B44" s="34">
        <v>7973140.79</v>
      </c>
      <c r="C44" s="34">
        <v>93268.95999999999</v>
      </c>
      <c r="D44" s="34">
        <f t="shared" si="0"/>
        <v>7272692.74</v>
      </c>
      <c r="E44" s="34">
        <v>607179.0899999999</v>
      </c>
      <c r="F44" s="35">
        <v>512</v>
      </c>
      <c r="G44" s="34">
        <f t="shared" si="4"/>
        <v>169.41380859374996</v>
      </c>
    </row>
    <row r="45" spans="1:7" ht="12.75">
      <c r="A45" s="42">
        <f t="shared" si="2"/>
        <v>45248</v>
      </c>
      <c r="B45" s="34">
        <v>8411235.81</v>
      </c>
      <c r="C45" s="34">
        <v>81335.19</v>
      </c>
      <c r="D45" s="34">
        <f t="shared" si="0"/>
        <v>7697084.46</v>
      </c>
      <c r="E45" s="34">
        <v>632816.16</v>
      </c>
      <c r="F45" s="35">
        <v>512</v>
      </c>
      <c r="G45" s="34">
        <f t="shared" si="4"/>
        <v>176.56700892857143</v>
      </c>
    </row>
    <row r="46" spans="1:7" ht="12.75">
      <c r="A46" s="42">
        <f t="shared" si="2"/>
        <v>45255</v>
      </c>
      <c r="B46" s="34">
        <v>8007550.1</v>
      </c>
      <c r="C46" s="34">
        <v>116093.31</v>
      </c>
      <c r="D46" s="34">
        <f t="shared" si="0"/>
        <v>7267430.890000001</v>
      </c>
      <c r="E46" s="34">
        <v>624025.8999999999</v>
      </c>
      <c r="F46" s="35">
        <v>512</v>
      </c>
      <c r="G46" s="34">
        <f t="shared" si="4"/>
        <v>174.11436941964283</v>
      </c>
    </row>
    <row r="47" spans="1:7" ht="12.75">
      <c r="A47" s="42">
        <f t="shared" si="2"/>
        <v>45262</v>
      </c>
      <c r="B47" s="34">
        <v>6994937.39</v>
      </c>
      <c r="C47" s="34">
        <v>86476.5</v>
      </c>
      <c r="D47" s="34">
        <f t="shared" si="0"/>
        <v>6363797.4399999995</v>
      </c>
      <c r="E47" s="34">
        <v>544663.4499999998</v>
      </c>
      <c r="F47" s="35">
        <v>512</v>
      </c>
      <c r="G47" s="34">
        <f t="shared" si="4"/>
        <v>151.97082868303568</v>
      </c>
    </row>
    <row r="48" spans="1:7" ht="12.75">
      <c r="A48" s="42">
        <f t="shared" si="2"/>
        <v>45269</v>
      </c>
      <c r="B48" s="34">
        <v>7101574.0600000005</v>
      </c>
      <c r="C48" s="34">
        <v>87304.98</v>
      </c>
      <c r="D48" s="34">
        <f t="shared" si="0"/>
        <v>6529230.21</v>
      </c>
      <c r="E48" s="34">
        <v>485038.87000000017</v>
      </c>
      <c r="F48" s="35">
        <v>512</v>
      </c>
      <c r="G48" s="34">
        <f t="shared" si="4"/>
        <v>135.3345061383929</v>
      </c>
    </row>
    <row r="49" spans="1:7" ht="12.75">
      <c r="A49" s="42">
        <f t="shared" si="2"/>
        <v>45276</v>
      </c>
      <c r="B49" s="34">
        <v>7146695.659999999</v>
      </c>
      <c r="C49" s="34">
        <v>66793.12</v>
      </c>
      <c r="D49" s="34">
        <f t="shared" si="0"/>
        <v>6555718.219999999</v>
      </c>
      <c r="E49" s="34">
        <v>524184.3200000002</v>
      </c>
      <c r="F49" s="35">
        <v>490</v>
      </c>
      <c r="G49" s="34">
        <f t="shared" si="4"/>
        <v>152.82341690962105</v>
      </c>
    </row>
    <row r="50" spans="1:7" ht="12.75">
      <c r="A50" s="42">
        <f t="shared" si="2"/>
        <v>45283</v>
      </c>
      <c r="B50" s="34">
        <v>6943522.319999998</v>
      </c>
      <c r="C50" s="34">
        <v>80037.95999999999</v>
      </c>
      <c r="D50" s="34">
        <f t="shared" si="0"/>
        <v>6389021.209999999</v>
      </c>
      <c r="E50" s="34">
        <v>474463.14999999985</v>
      </c>
      <c r="F50" s="35">
        <v>508</v>
      </c>
      <c r="G50" s="34">
        <f t="shared" si="4"/>
        <v>133.4260826771653</v>
      </c>
    </row>
    <row r="51" spans="1:7" ht="12.75">
      <c r="A51" s="42">
        <f t="shared" si="2"/>
        <v>45290</v>
      </c>
      <c r="B51" s="34">
        <v>8105050.380000001</v>
      </c>
      <c r="C51" s="59">
        <v>-33658.83999999998</v>
      </c>
      <c r="D51" s="34">
        <f t="shared" si="0"/>
        <v>7386610.32</v>
      </c>
      <c r="E51" s="34">
        <v>752098.9000000001</v>
      </c>
      <c r="F51" s="35">
        <v>512</v>
      </c>
      <c r="G51" s="34">
        <f t="shared" si="4"/>
        <v>209.84902343750005</v>
      </c>
    </row>
    <row r="52" spans="1:7" ht="12.75">
      <c r="A52" s="42">
        <f t="shared" si="2"/>
        <v>45297</v>
      </c>
      <c r="B52" s="34">
        <v>9160291.080000002</v>
      </c>
      <c r="C52" s="34">
        <v>80326.52</v>
      </c>
      <c r="D52" s="34">
        <f t="shared" si="0"/>
        <v>8390222.860000003</v>
      </c>
      <c r="E52" s="34">
        <v>689741.7000000001</v>
      </c>
      <c r="F52" s="35">
        <v>512</v>
      </c>
      <c r="G52" s="34">
        <f t="shared" si="4"/>
        <v>192.45025111607146</v>
      </c>
    </row>
    <row r="53" spans="1:7" ht="12.75">
      <c r="A53" s="42">
        <f t="shared" si="2"/>
        <v>45304</v>
      </c>
      <c r="B53" s="34">
        <v>6708894.59</v>
      </c>
      <c r="C53" s="34">
        <v>73028.56</v>
      </c>
      <c r="D53" s="34">
        <f t="shared" si="0"/>
        <v>6114766.73</v>
      </c>
      <c r="E53" s="34">
        <v>521099.30000000005</v>
      </c>
      <c r="F53" s="35">
        <v>512</v>
      </c>
      <c r="G53" s="34">
        <f t="shared" si="4"/>
        <v>145.39601004464288</v>
      </c>
    </row>
    <row r="54" spans="1:7" ht="12.75">
      <c r="A54" s="42">
        <f t="shared" si="2"/>
        <v>45311</v>
      </c>
      <c r="B54" s="34">
        <v>7072118.359999999</v>
      </c>
      <c r="C54" s="34">
        <v>56587.649999999994</v>
      </c>
      <c r="D54" s="34">
        <f t="shared" si="0"/>
        <v>6391626.279999999</v>
      </c>
      <c r="E54" s="34">
        <v>623904.4299999998</v>
      </c>
      <c r="F54" s="35">
        <v>512</v>
      </c>
      <c r="G54" s="34">
        <f t="shared" si="4"/>
        <v>174.08047712053568</v>
      </c>
    </row>
    <row r="55" spans="1:7" ht="12.75">
      <c r="A55" s="42">
        <f t="shared" si="2"/>
        <v>45318</v>
      </c>
      <c r="B55" s="34">
        <v>7942645.929999999</v>
      </c>
      <c r="C55" s="34">
        <v>93728.1</v>
      </c>
      <c r="D55" s="34">
        <f t="shared" si="0"/>
        <v>7302883.319999999</v>
      </c>
      <c r="E55" s="34">
        <v>546034.51</v>
      </c>
      <c r="F55" s="35">
        <v>512</v>
      </c>
      <c r="G55" s="34">
        <f t="shared" si="4"/>
        <v>152.35337890625001</v>
      </c>
    </row>
    <row r="56" spans="1:7" ht="12.75">
      <c r="A56" s="42">
        <f t="shared" si="2"/>
        <v>45325</v>
      </c>
      <c r="B56" s="34">
        <v>8331911.019999999</v>
      </c>
      <c r="C56" s="59">
        <v>-38013.28999999999</v>
      </c>
      <c r="D56" s="34">
        <f t="shared" si="0"/>
        <v>7568330.799999999</v>
      </c>
      <c r="E56" s="34">
        <v>801593.5099999998</v>
      </c>
      <c r="F56" s="35">
        <v>512</v>
      </c>
      <c r="G56" s="34">
        <f t="shared" si="4"/>
        <v>223.65890345982137</v>
      </c>
    </row>
    <row r="57" spans="1:7" ht="12.75">
      <c r="A57" s="42">
        <f t="shared" si="2"/>
        <v>45332</v>
      </c>
      <c r="B57" s="34">
        <v>8967875.870000001</v>
      </c>
      <c r="C57" s="34">
        <v>105123.23000000001</v>
      </c>
      <c r="D57" s="34">
        <f t="shared" si="0"/>
        <v>8215257.127425001</v>
      </c>
      <c r="E57" s="34">
        <v>647495.512575</v>
      </c>
      <c r="F57" s="35">
        <v>512</v>
      </c>
      <c r="G57" s="34">
        <f t="shared" si="4"/>
        <v>180.6628104282924</v>
      </c>
    </row>
    <row r="58" spans="1:7" ht="12.75">
      <c r="A58" s="42">
        <f t="shared" si="2"/>
        <v>45339</v>
      </c>
      <c r="B58" s="34">
        <v>7952454.58</v>
      </c>
      <c r="C58" s="34">
        <v>74165.68999999999</v>
      </c>
      <c r="D58" s="34">
        <f t="shared" si="0"/>
        <v>7271141.67</v>
      </c>
      <c r="E58" s="34">
        <v>607147.2199999999</v>
      </c>
      <c r="F58" s="35">
        <v>512</v>
      </c>
      <c r="G58" s="34">
        <f t="shared" si="4"/>
        <v>169.40491629464282</v>
      </c>
    </row>
    <row r="59" spans="1:7" ht="12.75">
      <c r="A59" s="42">
        <f t="shared" si="2"/>
        <v>45346</v>
      </c>
      <c r="B59" s="34">
        <v>10192137.510000002</v>
      </c>
      <c r="C59" s="34">
        <v>115506.72</v>
      </c>
      <c r="D59" s="34">
        <f t="shared" si="0"/>
        <v>9258502.71</v>
      </c>
      <c r="E59" s="34">
        <v>818128.0800000001</v>
      </c>
      <c r="F59" s="35">
        <v>512</v>
      </c>
      <c r="G59" s="34">
        <f t="shared" si="4"/>
        <v>228.27234375000003</v>
      </c>
    </row>
    <row r="60" spans="1:7" ht="12.75">
      <c r="A60" s="42">
        <f t="shared" si="2"/>
        <v>45353</v>
      </c>
      <c r="B60" s="34">
        <v>9480816.4</v>
      </c>
      <c r="C60" s="34">
        <v>113867.01000000001</v>
      </c>
      <c r="D60" s="34">
        <f t="shared" si="0"/>
        <v>8679097.57</v>
      </c>
      <c r="E60" s="34">
        <v>687851.8199999998</v>
      </c>
      <c r="F60" s="35">
        <v>512</v>
      </c>
      <c r="G60" s="34">
        <f t="shared" si="4"/>
        <v>191.92294084821424</v>
      </c>
    </row>
    <row r="61" spans="1:7" ht="12.75">
      <c r="A61" s="42">
        <f t="shared" si="2"/>
        <v>45360</v>
      </c>
      <c r="B61" s="34">
        <v>9850206.46</v>
      </c>
      <c r="C61" s="34">
        <v>116318.54000000001</v>
      </c>
      <c r="D61" s="34">
        <f t="shared" si="0"/>
        <v>9008226.520000001</v>
      </c>
      <c r="E61" s="34">
        <v>725661.3999999999</v>
      </c>
      <c r="F61" s="35">
        <v>512</v>
      </c>
      <c r="G61" s="34">
        <f t="shared" si="4"/>
        <v>202.4724888392857</v>
      </c>
    </row>
    <row r="62" spans="1:7" ht="12.75">
      <c r="A62" s="42">
        <f t="shared" si="2"/>
        <v>45367</v>
      </c>
      <c r="B62" s="34">
        <v>9603996.420000002</v>
      </c>
      <c r="C62" s="34">
        <v>113741.44000000002</v>
      </c>
      <c r="D62" s="34">
        <f t="shared" si="0"/>
        <v>8741086.060000002</v>
      </c>
      <c r="E62" s="34">
        <v>749168.9200000002</v>
      </c>
      <c r="F62" s="35">
        <v>512</v>
      </c>
      <c r="G62" s="34">
        <f t="shared" si="4"/>
        <v>209.0315066964286</v>
      </c>
    </row>
    <row r="63" spans="1:7" ht="12.75">
      <c r="A63" s="42">
        <f t="shared" si="2"/>
        <v>45374</v>
      </c>
      <c r="B63" s="34">
        <v>7765224.669999999</v>
      </c>
      <c r="C63" s="34">
        <v>72762.79</v>
      </c>
      <c r="D63" s="34">
        <f t="shared" si="0"/>
        <v>7120043.569999999</v>
      </c>
      <c r="E63" s="34">
        <v>572418.3099999999</v>
      </c>
      <c r="F63" s="35">
        <v>512</v>
      </c>
      <c r="G63" s="34">
        <f t="shared" si="4"/>
        <v>159.7149302455357</v>
      </c>
    </row>
    <row r="64" ht="12.75">
      <c r="A64" s="42"/>
    </row>
    <row r="65" ht="12.75">
      <c r="A65" s="42"/>
    </row>
    <row r="66" spans="1:7" ht="13.5" thickBot="1">
      <c r="A66" s="36" t="s">
        <v>8</v>
      </c>
      <c r="B66" s="17">
        <f>IF(SUM(B12:B65)=0,"",SUM(B12:B65))</f>
        <v>437908301.56</v>
      </c>
      <c r="C66" s="17">
        <f>IF(SUM(C12:C65)=0,"",SUM(C12:C65))</f>
        <v>4700756.31</v>
      </c>
      <c r="D66" s="17">
        <f>IF(SUM(D12:D65)=0,"",SUM(D12:D65))</f>
        <v>400110643.48742497</v>
      </c>
      <c r="E66" s="17">
        <f>IF(SUM(E12:E65)=0,"",SUM(E12:E65))</f>
        <v>33096901.76257499</v>
      </c>
      <c r="F66" s="23">
        <f>_xlfn.IFERROR(SUM(F12:F65)/COUNT(F12:F65)," ")</f>
        <v>511.5</v>
      </c>
      <c r="G66" s="40">
        <f>_xlfn.IFERROR((E66/SUM(F12:F65)/7)," ")</f>
        <v>177.76256948736741</v>
      </c>
    </row>
    <row r="67" spans="1:5" s="37" customFormat="1" ht="13.5" thickTop="1">
      <c r="A67" s="39"/>
      <c r="B67" s="38"/>
      <c r="C67" s="38"/>
      <c r="D67" s="38"/>
      <c r="E67" s="38"/>
    </row>
  </sheetData>
  <sheetProtection/>
  <mergeCells count="6">
    <mergeCell ref="A1:G1"/>
    <mergeCell ref="A2:G2"/>
    <mergeCell ref="A3:G3"/>
    <mergeCell ref="A4:G4"/>
    <mergeCell ref="A5:G5"/>
    <mergeCell ref="A7:G7"/>
  </mergeCells>
  <hyperlinks>
    <hyperlink ref="A4" r:id="rId1" display="www.vernondowns.com"/>
  </hyperlinks>
  <printOptions horizontalCentered="1"/>
  <pageMargins left="0" right="0" top="0.5" bottom="0.5" header="0.5" footer="0.5"/>
  <pageSetup fitToHeight="1" fitToWidth="1" horizontalDpi="600" verticalDpi="600" orientation="portrait" scale="8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PageLayoutView="0" workbookViewId="0" topLeftCell="A1">
      <pane ySplit="10" topLeftCell="A50" activePane="bottomLeft" state="frozen"/>
      <selection pane="topLeft" activeCell="A1" sqref="A1"/>
      <selection pane="bottomLeft" activeCell="F64" sqref="F64"/>
    </sheetView>
  </sheetViews>
  <sheetFormatPr defaultColWidth="9.140625" defaultRowHeight="12.75"/>
  <cols>
    <col min="1" max="1" width="15.7109375" style="36" customWidth="1"/>
    <col min="2" max="5" width="15.7109375" style="34" customWidth="1"/>
    <col min="6" max="6" width="15.7109375" style="35" customWidth="1"/>
    <col min="7" max="7" width="15.7109375" style="34" customWidth="1"/>
    <col min="8" max="16384" width="9.140625" style="33" customWidth="1"/>
  </cols>
  <sheetData>
    <row r="1" spans="1:11" ht="18">
      <c r="A1" s="61" t="s">
        <v>19</v>
      </c>
      <c r="B1" s="61"/>
      <c r="C1" s="61"/>
      <c r="D1" s="61"/>
      <c r="E1" s="61"/>
      <c r="F1" s="61"/>
      <c r="G1" s="61"/>
      <c r="H1" s="58"/>
      <c r="I1" s="58"/>
      <c r="J1" s="58"/>
      <c r="K1" s="58"/>
    </row>
    <row r="2" spans="1:11" ht="15">
      <c r="A2" s="62" t="s">
        <v>15</v>
      </c>
      <c r="B2" s="62"/>
      <c r="C2" s="62"/>
      <c r="D2" s="62"/>
      <c r="E2" s="62"/>
      <c r="F2" s="62"/>
      <c r="G2" s="62"/>
      <c r="H2" s="57"/>
      <c r="I2" s="57"/>
      <c r="J2" s="57"/>
      <c r="K2" s="57"/>
    </row>
    <row r="3" spans="1:11" s="50" customFormat="1" ht="15">
      <c r="A3" s="62" t="s">
        <v>16</v>
      </c>
      <c r="B3" s="62"/>
      <c r="C3" s="62"/>
      <c r="D3" s="62"/>
      <c r="E3" s="62"/>
      <c r="F3" s="62"/>
      <c r="G3" s="62"/>
      <c r="H3" s="57"/>
      <c r="I3" s="57"/>
      <c r="J3" s="57"/>
      <c r="K3" s="57"/>
    </row>
    <row r="4" spans="1:11" s="50" customFormat="1" ht="14.25" customHeight="1">
      <c r="A4" s="63" t="s">
        <v>17</v>
      </c>
      <c r="B4" s="63"/>
      <c r="C4" s="63"/>
      <c r="D4" s="63"/>
      <c r="E4" s="63"/>
      <c r="F4" s="63"/>
      <c r="G4" s="63"/>
      <c r="H4" s="27"/>
      <c r="I4" s="27"/>
      <c r="J4" s="27"/>
      <c r="K4" s="27"/>
    </row>
    <row r="5" spans="1:11" s="50" customFormat="1" ht="14.25">
      <c r="A5" s="64" t="s">
        <v>18</v>
      </c>
      <c r="B5" s="64"/>
      <c r="C5" s="64"/>
      <c r="D5" s="64"/>
      <c r="E5" s="64"/>
      <c r="F5" s="64"/>
      <c r="G5" s="64"/>
      <c r="H5" s="56"/>
      <c r="I5" s="56"/>
      <c r="J5" s="56"/>
      <c r="K5" s="56"/>
    </row>
    <row r="6" spans="1:11" s="50" customFormat="1" ht="21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7" s="54" customFormat="1" ht="14.25" customHeight="1">
      <c r="A7" s="65" t="s">
        <v>34</v>
      </c>
      <c r="B7" s="66"/>
      <c r="C7" s="66"/>
      <c r="D7" s="66"/>
      <c r="E7" s="66"/>
      <c r="F7" s="66"/>
      <c r="G7" s="67"/>
    </row>
    <row r="8" spans="1:7" s="50" customFormat="1" ht="9" customHeight="1">
      <c r="A8" s="36"/>
      <c r="B8" s="53"/>
      <c r="C8" s="53"/>
      <c r="D8" s="53"/>
      <c r="E8" s="51"/>
      <c r="F8" s="52"/>
      <c r="G8" s="51"/>
    </row>
    <row r="9" spans="1:7" s="43" customFormat="1" ht="12">
      <c r="A9" s="49"/>
      <c r="B9" s="47" t="s">
        <v>0</v>
      </c>
      <c r="C9" s="47" t="s">
        <v>22</v>
      </c>
      <c r="D9" s="47" t="s">
        <v>0</v>
      </c>
      <c r="E9" s="47"/>
      <c r="F9" s="48" t="s">
        <v>1</v>
      </c>
      <c r="G9" s="47" t="s">
        <v>2</v>
      </c>
    </row>
    <row r="10" spans="1:7" s="43" customFormat="1" ht="12">
      <c r="A10" s="46" t="s">
        <v>11</v>
      </c>
      <c r="B10" s="44" t="s">
        <v>3</v>
      </c>
      <c r="C10" s="44" t="s">
        <v>24</v>
      </c>
      <c r="D10" s="44" t="s">
        <v>4</v>
      </c>
      <c r="E10" s="44" t="s">
        <v>5</v>
      </c>
      <c r="F10" s="45" t="s">
        <v>6</v>
      </c>
      <c r="G10" s="44" t="s">
        <v>7</v>
      </c>
    </row>
    <row r="12" spans="1:7" ht="12.75">
      <c r="A12" s="22">
        <v>44653</v>
      </c>
      <c r="B12" s="34">
        <v>8101618.11</v>
      </c>
      <c r="C12" s="34">
        <v>96062.63999999998</v>
      </c>
      <c r="D12" s="34">
        <f aca="true" t="shared" si="0" ref="D12:D63">IF(ISBLANK(B12),"",B12-C12-E12)</f>
        <v>7478911.580000001</v>
      </c>
      <c r="E12" s="34">
        <v>526643.8899999998</v>
      </c>
      <c r="F12" s="35">
        <v>512</v>
      </c>
      <c r="G12" s="34">
        <f aca="true" t="shared" si="1" ref="G12:G35">IF(ISBLANK(B12),"",E12/F12/7)</f>
        <v>146.9430496651785</v>
      </c>
    </row>
    <row r="13" spans="1:7" ht="12.75">
      <c r="A13" s="42">
        <f aca="true" t="shared" si="2" ref="A13:A63">+A12+7</f>
        <v>44660</v>
      </c>
      <c r="B13" s="34">
        <v>7771274.66</v>
      </c>
      <c r="C13" s="34">
        <v>87046.3</v>
      </c>
      <c r="D13" s="34">
        <f>IF(ISBLANK(B13),"",B13-C13-E13)</f>
        <v>7133802.710000001</v>
      </c>
      <c r="E13" s="34">
        <v>550425.6499999999</v>
      </c>
      <c r="F13" s="35">
        <v>512</v>
      </c>
      <c r="G13" s="34">
        <f t="shared" si="1"/>
        <v>153.57858537946427</v>
      </c>
    </row>
    <row r="14" spans="1:7" ht="12.75">
      <c r="A14" s="42">
        <f t="shared" si="2"/>
        <v>44667</v>
      </c>
      <c r="B14" s="34">
        <v>7968382.25</v>
      </c>
      <c r="C14" s="34">
        <v>88339.68</v>
      </c>
      <c r="D14" s="34">
        <f t="shared" si="0"/>
        <v>7293059.45</v>
      </c>
      <c r="E14" s="34">
        <v>586983.12</v>
      </c>
      <c r="F14" s="35">
        <v>512</v>
      </c>
      <c r="G14" s="34">
        <f t="shared" si="1"/>
        <v>163.77877232142856</v>
      </c>
    </row>
    <row r="15" spans="1:7" ht="12.75">
      <c r="A15" s="42">
        <f t="shared" si="2"/>
        <v>44674</v>
      </c>
      <c r="B15" s="34">
        <v>7484609.680000001</v>
      </c>
      <c r="C15" s="34">
        <v>65449.45</v>
      </c>
      <c r="D15" s="34">
        <f>IF(ISBLANK(B15),"",B15-C15-E15)</f>
        <v>6877064.760000001</v>
      </c>
      <c r="E15" s="34">
        <v>542095.4700000001</v>
      </c>
      <c r="F15" s="35">
        <v>512</v>
      </c>
      <c r="G15" s="34">
        <f t="shared" si="1"/>
        <v>151.25431640625</v>
      </c>
    </row>
    <row r="16" spans="1:7" ht="12.75">
      <c r="A16" s="42">
        <f t="shared" si="2"/>
        <v>44681</v>
      </c>
      <c r="B16" s="34">
        <v>8592193.920000002</v>
      </c>
      <c r="C16" s="34">
        <v>102017.75</v>
      </c>
      <c r="D16" s="34">
        <f>IF(ISBLANK(B16),"",B16-C16-E16)</f>
        <v>7849707.440000001</v>
      </c>
      <c r="E16" s="34">
        <v>640468.7300000002</v>
      </c>
      <c r="F16" s="35">
        <v>512</v>
      </c>
      <c r="G16" s="34">
        <f t="shared" si="1"/>
        <v>178.7022126116072</v>
      </c>
    </row>
    <row r="17" spans="1:7" ht="12.75">
      <c r="A17" s="42">
        <f t="shared" si="2"/>
        <v>44688</v>
      </c>
      <c r="B17" s="34">
        <v>7434957.13</v>
      </c>
      <c r="C17" s="34">
        <v>80683.05</v>
      </c>
      <c r="D17" s="34">
        <f aca="true" t="shared" si="3" ref="D17:D35">IF(ISBLANK(B17),"",B17-C17-E17)</f>
        <v>6757277.45</v>
      </c>
      <c r="E17" s="34">
        <v>596996.6300000002</v>
      </c>
      <c r="F17" s="35">
        <v>512</v>
      </c>
      <c r="G17" s="34">
        <f t="shared" si="1"/>
        <v>166.57272042410722</v>
      </c>
    </row>
    <row r="18" spans="1:7" ht="12.75">
      <c r="A18" s="42">
        <f t="shared" si="2"/>
        <v>44695</v>
      </c>
      <c r="B18" s="34">
        <v>6983047.67</v>
      </c>
      <c r="C18" s="34">
        <v>82767.9</v>
      </c>
      <c r="D18" s="34">
        <f t="shared" si="3"/>
        <v>6401297.109999999</v>
      </c>
      <c r="E18" s="34">
        <v>498982.66000000003</v>
      </c>
      <c r="F18" s="35">
        <v>512</v>
      </c>
      <c r="G18" s="34">
        <f t="shared" si="1"/>
        <v>139.22507254464287</v>
      </c>
    </row>
    <row r="19" spans="1:7" ht="12.75">
      <c r="A19" s="42">
        <f t="shared" si="2"/>
        <v>44702</v>
      </c>
      <c r="B19" s="34">
        <v>7213480.720000001</v>
      </c>
      <c r="C19" s="34">
        <v>52656.73999999999</v>
      </c>
      <c r="D19" s="34">
        <f t="shared" si="3"/>
        <v>6615316.44</v>
      </c>
      <c r="E19" s="34">
        <v>545507.5399999998</v>
      </c>
      <c r="F19" s="35">
        <v>512</v>
      </c>
      <c r="G19" s="34">
        <f t="shared" si="1"/>
        <v>152.20634486607136</v>
      </c>
    </row>
    <row r="20" spans="1:7" ht="12.75">
      <c r="A20" s="42">
        <f t="shared" si="2"/>
        <v>44709</v>
      </c>
      <c r="B20" s="34">
        <v>7437820.460000001</v>
      </c>
      <c r="C20" s="34">
        <v>84348.06</v>
      </c>
      <c r="D20" s="34">
        <f t="shared" si="3"/>
        <v>6799528.170000002</v>
      </c>
      <c r="E20" s="34">
        <v>553944.2299999999</v>
      </c>
      <c r="F20" s="35">
        <v>512</v>
      </c>
      <c r="G20" s="34">
        <f t="shared" si="1"/>
        <v>154.56033203124997</v>
      </c>
    </row>
    <row r="21" spans="1:7" ht="12.75">
      <c r="A21" s="42">
        <f t="shared" si="2"/>
        <v>44716</v>
      </c>
      <c r="B21" s="34">
        <v>7855827.109999999</v>
      </c>
      <c r="C21" s="34">
        <v>100244.55</v>
      </c>
      <c r="D21" s="34">
        <f t="shared" si="3"/>
        <v>7181186.99</v>
      </c>
      <c r="E21" s="34">
        <v>574395.5699999997</v>
      </c>
      <c r="F21" s="35">
        <v>512</v>
      </c>
      <c r="G21" s="34">
        <f t="shared" si="1"/>
        <v>160.26662109374993</v>
      </c>
    </row>
    <row r="22" spans="1:7" ht="12.75">
      <c r="A22" s="42">
        <f t="shared" si="2"/>
        <v>44723</v>
      </c>
      <c r="B22" s="34">
        <v>7374375.66</v>
      </c>
      <c r="C22" s="34">
        <v>89054.09</v>
      </c>
      <c r="D22" s="34">
        <f t="shared" si="3"/>
        <v>6710874.25</v>
      </c>
      <c r="E22" s="34">
        <v>574447.3200000001</v>
      </c>
      <c r="F22" s="35">
        <v>512</v>
      </c>
      <c r="G22" s="34">
        <f t="shared" si="1"/>
        <v>160.28106026785716</v>
      </c>
    </row>
    <row r="23" spans="1:7" ht="12.75">
      <c r="A23" s="42">
        <f t="shared" si="2"/>
        <v>44730</v>
      </c>
      <c r="B23" s="34">
        <v>7653015.85</v>
      </c>
      <c r="C23" s="34">
        <v>90308.7</v>
      </c>
      <c r="D23" s="34">
        <f t="shared" si="3"/>
        <v>6999538.51</v>
      </c>
      <c r="E23" s="34">
        <v>563168.64</v>
      </c>
      <c r="F23" s="35">
        <v>512</v>
      </c>
      <c r="G23" s="34">
        <f t="shared" si="1"/>
        <v>157.13410714285715</v>
      </c>
    </row>
    <row r="24" spans="1:7" ht="12.75">
      <c r="A24" s="42">
        <f t="shared" si="2"/>
        <v>44737</v>
      </c>
      <c r="B24" s="34">
        <v>7500157.51</v>
      </c>
      <c r="C24" s="59">
        <v>98314.33</v>
      </c>
      <c r="D24" s="34">
        <f t="shared" si="3"/>
        <v>6847059.369999999</v>
      </c>
      <c r="E24" s="34">
        <v>554783.81</v>
      </c>
      <c r="F24" s="35">
        <v>512</v>
      </c>
      <c r="G24" s="34">
        <f t="shared" si="1"/>
        <v>154.79458984375</v>
      </c>
    </row>
    <row r="25" spans="1:7" ht="12.75">
      <c r="A25" s="42">
        <f t="shared" si="2"/>
        <v>44744</v>
      </c>
      <c r="B25" s="34">
        <v>8604049.46</v>
      </c>
      <c r="C25" s="34">
        <v>84050.68</v>
      </c>
      <c r="D25" s="34">
        <f t="shared" si="3"/>
        <v>7880756.8500000015</v>
      </c>
      <c r="E25" s="34">
        <v>639241.93</v>
      </c>
      <c r="F25" s="35">
        <v>512</v>
      </c>
      <c r="G25" s="34">
        <f t="shared" si="1"/>
        <v>178.3599135044643</v>
      </c>
    </row>
    <row r="26" spans="1:7" ht="12.75">
      <c r="A26" s="42">
        <f t="shared" si="2"/>
        <v>44751</v>
      </c>
      <c r="B26" s="34">
        <v>8687995.049999999</v>
      </c>
      <c r="C26" s="34">
        <v>108766.49</v>
      </c>
      <c r="D26" s="34">
        <f t="shared" si="3"/>
        <v>7907059.3599999985</v>
      </c>
      <c r="E26" s="34">
        <v>672169.2000000002</v>
      </c>
      <c r="F26" s="35">
        <v>512</v>
      </c>
      <c r="G26" s="34">
        <f t="shared" si="1"/>
        <v>187.54720982142862</v>
      </c>
    </row>
    <row r="27" spans="1:7" ht="12.75">
      <c r="A27" s="42">
        <f t="shared" si="2"/>
        <v>44758</v>
      </c>
      <c r="B27" s="34">
        <v>7604216.739999999</v>
      </c>
      <c r="C27" s="34">
        <v>87521.35</v>
      </c>
      <c r="D27" s="34">
        <f t="shared" si="3"/>
        <v>6931239.64</v>
      </c>
      <c r="E27" s="34">
        <v>585455.7499999999</v>
      </c>
      <c r="F27" s="35">
        <v>512</v>
      </c>
      <c r="G27" s="34">
        <f t="shared" si="1"/>
        <v>163.35260881696425</v>
      </c>
    </row>
    <row r="28" spans="1:7" ht="12.75">
      <c r="A28" s="42">
        <f t="shared" si="2"/>
        <v>44765</v>
      </c>
      <c r="B28" s="34">
        <v>7494179.669999999</v>
      </c>
      <c r="C28" s="34">
        <v>87868.53</v>
      </c>
      <c r="D28" s="34">
        <f t="shared" si="3"/>
        <v>6934161.939999999</v>
      </c>
      <c r="E28" s="34">
        <v>472149.1999999998</v>
      </c>
      <c r="F28" s="35">
        <v>512</v>
      </c>
      <c r="G28" s="34">
        <f t="shared" si="1"/>
        <v>131.73805803571423</v>
      </c>
    </row>
    <row r="29" spans="1:7" ht="12.75">
      <c r="A29" s="42">
        <f t="shared" si="2"/>
        <v>44772</v>
      </c>
      <c r="B29" s="34">
        <v>8106462.369999999</v>
      </c>
      <c r="C29" s="34">
        <v>77994</v>
      </c>
      <c r="D29" s="34">
        <f t="shared" si="3"/>
        <v>7453567.169999999</v>
      </c>
      <c r="E29" s="34">
        <v>574901.2000000004</v>
      </c>
      <c r="F29" s="35">
        <v>512</v>
      </c>
      <c r="G29" s="34">
        <f t="shared" si="1"/>
        <v>160.40770089285726</v>
      </c>
    </row>
    <row r="30" spans="1:7" ht="12.75">
      <c r="A30" s="42">
        <f t="shared" si="2"/>
        <v>44779</v>
      </c>
      <c r="B30" s="34">
        <v>8072521.919999999</v>
      </c>
      <c r="C30" s="34">
        <v>85291.12999999999</v>
      </c>
      <c r="D30" s="34">
        <f t="shared" si="3"/>
        <v>7461251.18</v>
      </c>
      <c r="E30" s="34">
        <v>525979.6099999999</v>
      </c>
      <c r="F30" s="35">
        <v>512</v>
      </c>
      <c r="G30" s="34">
        <f t="shared" si="1"/>
        <v>146.7577036830357</v>
      </c>
    </row>
    <row r="31" spans="1:7" ht="12.75">
      <c r="A31" s="42">
        <f t="shared" si="2"/>
        <v>44786</v>
      </c>
      <c r="B31" s="34">
        <v>7894669.71</v>
      </c>
      <c r="C31" s="34">
        <v>90051.97</v>
      </c>
      <c r="D31" s="34">
        <f t="shared" si="3"/>
        <v>7217720.83</v>
      </c>
      <c r="E31" s="34">
        <v>586896.9099999999</v>
      </c>
      <c r="F31" s="35">
        <v>512</v>
      </c>
      <c r="G31" s="34">
        <f t="shared" si="1"/>
        <v>163.75471819196426</v>
      </c>
    </row>
    <row r="32" spans="1:7" ht="12.75">
      <c r="A32" s="42">
        <f t="shared" si="2"/>
        <v>44793</v>
      </c>
      <c r="B32" s="34">
        <v>7950565.46</v>
      </c>
      <c r="C32" s="34">
        <v>93271.54</v>
      </c>
      <c r="D32" s="34">
        <f t="shared" si="3"/>
        <v>7251822.7</v>
      </c>
      <c r="E32" s="34">
        <v>605471.2199999999</v>
      </c>
      <c r="F32" s="35">
        <v>512</v>
      </c>
      <c r="G32" s="34">
        <f t="shared" si="1"/>
        <v>168.9372823660714</v>
      </c>
    </row>
    <row r="33" spans="1:7" ht="12.75">
      <c r="A33" s="42">
        <f t="shared" si="2"/>
        <v>44800</v>
      </c>
      <c r="B33" s="34">
        <v>8208718.49</v>
      </c>
      <c r="C33" s="34">
        <v>94542.46</v>
      </c>
      <c r="D33" s="34">
        <f t="shared" si="3"/>
        <v>7526314</v>
      </c>
      <c r="E33" s="34">
        <v>587862.03</v>
      </c>
      <c r="F33" s="35">
        <v>512</v>
      </c>
      <c r="G33" s="34">
        <f t="shared" si="1"/>
        <v>164.02400390625002</v>
      </c>
    </row>
    <row r="34" spans="1:7" ht="12.75">
      <c r="A34" s="42">
        <f t="shared" si="2"/>
        <v>44807</v>
      </c>
      <c r="B34" s="34">
        <v>7813296.640000001</v>
      </c>
      <c r="C34" s="34">
        <v>78199.69</v>
      </c>
      <c r="D34" s="34">
        <f t="shared" si="3"/>
        <v>7121288.25</v>
      </c>
      <c r="E34" s="34">
        <v>613808.6999999998</v>
      </c>
      <c r="F34" s="35">
        <v>512</v>
      </c>
      <c r="G34" s="34">
        <f t="shared" si="1"/>
        <v>171.26358816964282</v>
      </c>
    </row>
    <row r="35" spans="1:7" ht="12.75">
      <c r="A35" s="42">
        <f t="shared" si="2"/>
        <v>44814</v>
      </c>
      <c r="B35" s="34">
        <v>7833578.16</v>
      </c>
      <c r="C35" s="34">
        <v>100176.2</v>
      </c>
      <c r="D35" s="34">
        <f t="shared" si="3"/>
        <v>7110549.94</v>
      </c>
      <c r="E35" s="34">
        <v>622852.0199999999</v>
      </c>
      <c r="F35" s="35">
        <v>512</v>
      </c>
      <c r="G35" s="34">
        <f t="shared" si="1"/>
        <v>173.78683593749997</v>
      </c>
    </row>
    <row r="36" spans="1:7" ht="12.75">
      <c r="A36" s="42">
        <f t="shared" si="2"/>
        <v>44821</v>
      </c>
      <c r="B36" s="34">
        <v>7783038.830000001</v>
      </c>
      <c r="C36" s="34">
        <v>90400.15</v>
      </c>
      <c r="D36" s="34">
        <f t="shared" si="0"/>
        <v>7120923.28</v>
      </c>
      <c r="E36" s="34">
        <v>571715.4000000003</v>
      </c>
      <c r="F36" s="35">
        <v>512</v>
      </c>
      <c r="G36" s="34">
        <f>IF(ISBLANK(B36),"",E36/F36/7)</f>
        <v>159.5188058035715</v>
      </c>
    </row>
    <row r="37" spans="1:7" ht="12.75">
      <c r="A37" s="42">
        <f t="shared" si="2"/>
        <v>44828</v>
      </c>
      <c r="B37" s="34">
        <v>6831333.0600000005</v>
      </c>
      <c r="C37" s="34">
        <v>78696.59999999999</v>
      </c>
      <c r="D37" s="34">
        <f t="shared" si="0"/>
        <v>6280526.370000001</v>
      </c>
      <c r="E37" s="34">
        <v>472110.0900000002</v>
      </c>
      <c r="F37" s="35">
        <v>512</v>
      </c>
      <c r="G37" s="34">
        <f aca="true" t="shared" si="4" ref="G37:G63">IF(ISBLANK(B37),"",E37/F37/7)</f>
        <v>131.7271456473215</v>
      </c>
    </row>
    <row r="38" spans="1:7" ht="12.75">
      <c r="A38" s="42">
        <f t="shared" si="2"/>
        <v>44835</v>
      </c>
      <c r="B38" s="34">
        <v>7330794.66</v>
      </c>
      <c r="C38" s="34">
        <v>60989.100000000006</v>
      </c>
      <c r="D38" s="34">
        <f t="shared" si="0"/>
        <v>6640635.4</v>
      </c>
      <c r="E38" s="34">
        <v>629170.16</v>
      </c>
      <c r="F38" s="35">
        <v>512</v>
      </c>
      <c r="G38" s="34">
        <f t="shared" si="4"/>
        <v>175.5497098214286</v>
      </c>
    </row>
    <row r="39" spans="1:7" ht="12.75">
      <c r="A39" s="42">
        <f t="shared" si="2"/>
        <v>44842</v>
      </c>
      <c r="B39" s="60">
        <v>7532859.74</v>
      </c>
      <c r="C39" s="60">
        <v>103745.25</v>
      </c>
      <c r="D39" s="34">
        <f t="shared" si="0"/>
        <v>6962682.0200000005</v>
      </c>
      <c r="E39" s="60">
        <v>466432.4699999998</v>
      </c>
      <c r="F39" s="35">
        <v>512</v>
      </c>
      <c r="G39" s="34">
        <f t="shared" si="4"/>
        <v>130.14298828124996</v>
      </c>
    </row>
    <row r="40" spans="1:7" ht="12.75">
      <c r="A40" s="42">
        <f t="shared" si="2"/>
        <v>44849</v>
      </c>
      <c r="B40" s="34">
        <v>7240631.369999999</v>
      </c>
      <c r="C40" s="34">
        <v>90624.97</v>
      </c>
      <c r="D40" s="34">
        <f t="shared" si="0"/>
        <v>6599534.72</v>
      </c>
      <c r="E40" s="60">
        <v>550471.6799999999</v>
      </c>
      <c r="F40" s="35">
        <v>512</v>
      </c>
      <c r="G40" s="34">
        <f t="shared" si="4"/>
        <v>153.59142857142857</v>
      </c>
    </row>
    <row r="41" spans="1:7" ht="12.75">
      <c r="A41" s="42">
        <f t="shared" si="2"/>
        <v>44856</v>
      </c>
      <c r="B41" s="34">
        <v>7168424.869999999</v>
      </c>
      <c r="C41" s="34">
        <v>67139.55</v>
      </c>
      <c r="D41" s="34">
        <f t="shared" si="0"/>
        <v>6534506.099999999</v>
      </c>
      <c r="E41" s="34">
        <v>566779.2200000003</v>
      </c>
      <c r="F41" s="35">
        <v>512</v>
      </c>
      <c r="G41" s="34">
        <f t="shared" si="4"/>
        <v>158.1415234375001</v>
      </c>
    </row>
    <row r="42" spans="1:7" ht="12.75">
      <c r="A42" s="42">
        <f t="shared" si="2"/>
        <v>44863</v>
      </c>
      <c r="B42" s="34">
        <v>8093406.36</v>
      </c>
      <c r="C42" s="34">
        <v>89760.15000000001</v>
      </c>
      <c r="D42" s="34">
        <f t="shared" si="0"/>
        <v>7416916.28</v>
      </c>
      <c r="E42" s="34">
        <v>586729.9299999998</v>
      </c>
      <c r="F42" s="35">
        <v>512</v>
      </c>
      <c r="G42" s="34">
        <f t="shared" si="4"/>
        <v>163.7081277901785</v>
      </c>
    </row>
    <row r="43" spans="1:7" ht="12.75">
      <c r="A43" s="42">
        <f t="shared" si="2"/>
        <v>44870</v>
      </c>
      <c r="B43" s="34">
        <v>7984470.739999999</v>
      </c>
      <c r="C43" s="34">
        <v>86359.45</v>
      </c>
      <c r="D43" s="34">
        <f t="shared" si="0"/>
        <v>7373462.569999999</v>
      </c>
      <c r="E43" s="34">
        <v>524648.72</v>
      </c>
      <c r="F43" s="35">
        <v>512</v>
      </c>
      <c r="G43" s="34">
        <f t="shared" si="4"/>
        <v>146.38636160714285</v>
      </c>
    </row>
    <row r="44" spans="1:7" ht="12.75">
      <c r="A44" s="42">
        <f t="shared" si="2"/>
        <v>44877</v>
      </c>
      <c r="B44" s="34">
        <v>7406734.87</v>
      </c>
      <c r="C44" s="34">
        <v>88784.2</v>
      </c>
      <c r="D44" s="34">
        <f t="shared" si="0"/>
        <v>6811792.74</v>
      </c>
      <c r="E44" s="34">
        <v>506157.92999999993</v>
      </c>
      <c r="F44" s="35">
        <v>512</v>
      </c>
      <c r="G44" s="34">
        <f t="shared" si="4"/>
        <v>141.22710100446426</v>
      </c>
    </row>
    <row r="45" spans="1:7" ht="12.75">
      <c r="A45" s="42">
        <f t="shared" si="2"/>
        <v>44884</v>
      </c>
      <c r="B45" s="34">
        <v>6487351.37</v>
      </c>
      <c r="C45" s="34">
        <v>66985.54999999999</v>
      </c>
      <c r="D45" s="34">
        <f t="shared" si="0"/>
        <v>5935732.12</v>
      </c>
      <c r="E45" s="34">
        <v>484633.69999999995</v>
      </c>
      <c r="F45" s="35">
        <v>512</v>
      </c>
      <c r="G45" s="34">
        <f t="shared" si="4"/>
        <v>135.22145647321426</v>
      </c>
    </row>
    <row r="46" spans="1:7" ht="12.75">
      <c r="A46" s="42">
        <f t="shared" si="2"/>
        <v>44891</v>
      </c>
      <c r="B46" s="34">
        <v>6998321.249999999</v>
      </c>
      <c r="C46" s="34">
        <v>92956.28</v>
      </c>
      <c r="D46" s="34">
        <f t="shared" si="0"/>
        <v>6425119.319999998</v>
      </c>
      <c r="E46" s="34">
        <v>480245.6499999999</v>
      </c>
      <c r="F46" s="35">
        <v>512</v>
      </c>
      <c r="G46" s="34">
        <f t="shared" si="4"/>
        <v>133.99711216517855</v>
      </c>
    </row>
    <row r="47" spans="1:7" ht="12.75">
      <c r="A47" s="42">
        <f t="shared" si="2"/>
        <v>44898</v>
      </c>
      <c r="B47" s="34">
        <v>6910183.07</v>
      </c>
      <c r="C47" s="34">
        <v>86267.15000000001</v>
      </c>
      <c r="D47" s="34">
        <f t="shared" si="0"/>
        <v>6318717.76</v>
      </c>
      <c r="E47" s="34">
        <v>505198.1599999998</v>
      </c>
      <c r="F47" s="35">
        <v>512</v>
      </c>
      <c r="G47" s="34">
        <f t="shared" si="4"/>
        <v>140.95930803571423</v>
      </c>
    </row>
    <row r="48" spans="1:7" ht="12.75">
      <c r="A48" s="42">
        <f t="shared" si="2"/>
        <v>44905</v>
      </c>
      <c r="B48" s="34">
        <v>6809564.25</v>
      </c>
      <c r="C48" s="34">
        <v>78729.45</v>
      </c>
      <c r="D48" s="34">
        <f t="shared" si="0"/>
        <v>6288962.109999999</v>
      </c>
      <c r="E48" s="34">
        <v>441872.6900000001</v>
      </c>
      <c r="F48" s="35">
        <v>512</v>
      </c>
      <c r="G48" s="34">
        <f t="shared" si="4"/>
        <v>123.29037109375004</v>
      </c>
    </row>
    <row r="49" spans="1:7" ht="12.75">
      <c r="A49" s="42">
        <f t="shared" si="2"/>
        <v>44912</v>
      </c>
      <c r="B49" s="34">
        <v>5268034.879999999</v>
      </c>
      <c r="C49" s="34">
        <v>55548.149999999994</v>
      </c>
      <c r="D49" s="34">
        <f t="shared" si="0"/>
        <v>4808154.809999999</v>
      </c>
      <c r="E49" s="34">
        <v>404331.9200000001</v>
      </c>
      <c r="F49" s="35">
        <v>512</v>
      </c>
      <c r="G49" s="34">
        <f t="shared" si="4"/>
        <v>112.81582589285718</v>
      </c>
    </row>
    <row r="50" spans="1:7" ht="12.75">
      <c r="A50" s="42">
        <f t="shared" si="2"/>
        <v>44919</v>
      </c>
      <c r="B50" s="34">
        <v>3885724.75</v>
      </c>
      <c r="C50" s="34">
        <v>50226</v>
      </c>
      <c r="D50" s="34">
        <f t="shared" si="0"/>
        <v>3546765.69</v>
      </c>
      <c r="E50" s="34">
        <v>288733.05999999994</v>
      </c>
      <c r="F50" s="35">
        <v>512</v>
      </c>
      <c r="G50" s="34">
        <f t="shared" si="4"/>
        <v>80.56167968749999</v>
      </c>
    </row>
    <row r="51" spans="1:7" ht="12.75">
      <c r="A51" s="42">
        <f t="shared" si="2"/>
        <v>44926</v>
      </c>
      <c r="B51" s="34">
        <v>9607043.16</v>
      </c>
      <c r="C51" s="34">
        <v>112744.64</v>
      </c>
      <c r="D51" s="34">
        <f t="shared" si="0"/>
        <v>8808988.52</v>
      </c>
      <c r="E51" s="34">
        <v>685309.9999999998</v>
      </c>
      <c r="F51" s="35">
        <v>512</v>
      </c>
      <c r="G51" s="34">
        <f t="shared" si="4"/>
        <v>191.21372767857136</v>
      </c>
    </row>
    <row r="52" spans="1:7" ht="12.75">
      <c r="A52" s="42">
        <f t="shared" si="2"/>
        <v>44933</v>
      </c>
      <c r="B52" s="34">
        <v>8622105.13</v>
      </c>
      <c r="C52" s="34">
        <v>101993.04000000001</v>
      </c>
      <c r="D52" s="34">
        <f t="shared" si="0"/>
        <v>7852338.270000001</v>
      </c>
      <c r="E52" s="34">
        <v>667773.8200000001</v>
      </c>
      <c r="F52" s="35">
        <v>512</v>
      </c>
      <c r="G52" s="34">
        <f t="shared" si="4"/>
        <v>186.32082031250002</v>
      </c>
    </row>
    <row r="53" spans="1:7" ht="12.75">
      <c r="A53" s="42">
        <f t="shared" si="2"/>
        <v>44940</v>
      </c>
      <c r="B53" s="34">
        <v>7515445.140000001</v>
      </c>
      <c r="C53" s="34">
        <v>80431.72999999998</v>
      </c>
      <c r="D53" s="34">
        <f t="shared" si="0"/>
        <v>6834525.87</v>
      </c>
      <c r="E53" s="34">
        <v>600487.5400000003</v>
      </c>
      <c r="F53" s="35">
        <v>512</v>
      </c>
      <c r="G53" s="34">
        <f t="shared" si="4"/>
        <v>167.54674665178578</v>
      </c>
    </row>
    <row r="54" spans="1:7" ht="12.75">
      <c r="A54" s="42">
        <f t="shared" si="2"/>
        <v>44947</v>
      </c>
      <c r="B54" s="34">
        <v>7185858.609999999</v>
      </c>
      <c r="C54" s="34">
        <v>88620.05</v>
      </c>
      <c r="D54" s="34">
        <f t="shared" si="0"/>
        <v>6570617.279999999</v>
      </c>
      <c r="E54" s="34">
        <v>526621.2799999999</v>
      </c>
      <c r="F54" s="35">
        <v>512</v>
      </c>
      <c r="G54" s="34">
        <f t="shared" si="4"/>
        <v>146.93674107142854</v>
      </c>
    </row>
    <row r="55" spans="1:7" ht="12.75">
      <c r="A55" s="42">
        <f t="shared" si="2"/>
        <v>44954</v>
      </c>
      <c r="B55" s="34">
        <v>7055117.98</v>
      </c>
      <c r="C55" s="34">
        <v>89087.27</v>
      </c>
      <c r="D55" s="34">
        <f t="shared" si="0"/>
        <v>6487552.300000001</v>
      </c>
      <c r="E55" s="34">
        <v>478478.4099999999</v>
      </c>
      <c r="F55" s="35">
        <v>505</v>
      </c>
      <c r="G55" s="34">
        <f t="shared" si="4"/>
        <v>135.3545714285714</v>
      </c>
    </row>
    <row r="56" spans="1:7" ht="12.75">
      <c r="A56" s="42">
        <f t="shared" si="2"/>
        <v>44961</v>
      </c>
      <c r="B56" s="34">
        <v>6972676.52</v>
      </c>
      <c r="C56" s="34">
        <v>79779</v>
      </c>
      <c r="D56" s="34">
        <f t="shared" si="0"/>
        <v>6399926.069999999</v>
      </c>
      <c r="E56" s="34">
        <v>492971.4499999998</v>
      </c>
      <c r="F56" s="35">
        <v>512</v>
      </c>
      <c r="G56" s="34">
        <f t="shared" si="4"/>
        <v>137.5478376116071</v>
      </c>
    </row>
    <row r="57" spans="1:7" ht="12.75">
      <c r="A57" s="42">
        <f t="shared" si="2"/>
        <v>44968</v>
      </c>
      <c r="B57" s="34">
        <v>8561565.46</v>
      </c>
      <c r="C57" s="34">
        <v>103340.6</v>
      </c>
      <c r="D57" s="34">
        <f t="shared" si="0"/>
        <v>7849276.6400000015</v>
      </c>
      <c r="E57" s="34">
        <v>608948.2200000001</v>
      </c>
      <c r="F57" s="35">
        <v>512</v>
      </c>
      <c r="G57" s="34">
        <f t="shared" si="4"/>
        <v>169.90742745535718</v>
      </c>
    </row>
    <row r="58" spans="1:7" ht="12.75">
      <c r="A58" s="42">
        <f t="shared" si="2"/>
        <v>44975</v>
      </c>
      <c r="B58" s="34">
        <v>8628126.28</v>
      </c>
      <c r="C58" s="34">
        <v>89207.49999999999</v>
      </c>
      <c r="D58" s="34">
        <f t="shared" si="0"/>
        <v>7947576.409999999</v>
      </c>
      <c r="E58" s="34">
        <v>591342.37</v>
      </c>
      <c r="F58" s="35">
        <v>512</v>
      </c>
      <c r="G58" s="34">
        <f t="shared" si="4"/>
        <v>164.99508091517856</v>
      </c>
    </row>
    <row r="59" spans="1:7" ht="12.75">
      <c r="A59" s="42">
        <f t="shared" si="2"/>
        <v>44982</v>
      </c>
      <c r="B59" s="34">
        <v>8580278.639999999</v>
      </c>
      <c r="C59" s="34">
        <v>100180.35</v>
      </c>
      <c r="D59" s="34">
        <f t="shared" si="0"/>
        <v>7892971.3599999985</v>
      </c>
      <c r="E59" s="34">
        <v>587126.9300000003</v>
      </c>
      <c r="F59" s="35">
        <v>512</v>
      </c>
      <c r="G59" s="34">
        <f t="shared" si="4"/>
        <v>163.81889787946437</v>
      </c>
    </row>
    <row r="60" spans="1:7" ht="12.75">
      <c r="A60" s="42">
        <f t="shared" si="2"/>
        <v>44989</v>
      </c>
      <c r="B60" s="34">
        <v>8004854.299999999</v>
      </c>
      <c r="C60" s="34">
        <v>90620.6</v>
      </c>
      <c r="D60" s="34">
        <f t="shared" si="0"/>
        <v>7284869.069999999</v>
      </c>
      <c r="E60" s="34">
        <v>629364.6299999998</v>
      </c>
      <c r="F60" s="35">
        <v>512</v>
      </c>
      <c r="G60" s="34">
        <f t="shared" si="4"/>
        <v>175.60397042410708</v>
      </c>
    </row>
    <row r="61" spans="1:7" ht="12.75">
      <c r="A61" s="42">
        <f t="shared" si="2"/>
        <v>44996</v>
      </c>
      <c r="B61" s="34">
        <v>8221723.09</v>
      </c>
      <c r="C61" s="34">
        <v>99672.85</v>
      </c>
      <c r="D61" s="34">
        <f t="shared" si="0"/>
        <v>7494298.19</v>
      </c>
      <c r="E61" s="34">
        <v>627752.0499999998</v>
      </c>
      <c r="F61" s="35">
        <v>512</v>
      </c>
      <c r="G61" s="34">
        <f t="shared" si="4"/>
        <v>175.15403180803565</v>
      </c>
    </row>
    <row r="62" spans="1:7" ht="12.75">
      <c r="A62" s="42">
        <f t="shared" si="2"/>
        <v>45003</v>
      </c>
      <c r="B62" s="34">
        <v>8102812.879999999</v>
      </c>
      <c r="C62" s="34">
        <v>95351.90000000001</v>
      </c>
      <c r="D62" s="34">
        <f t="shared" si="0"/>
        <v>7405904.919999998</v>
      </c>
      <c r="E62" s="34">
        <v>601556.0600000004</v>
      </c>
      <c r="F62" s="35">
        <v>512</v>
      </c>
      <c r="G62" s="34">
        <f t="shared" si="4"/>
        <v>167.84488281250012</v>
      </c>
    </row>
    <row r="63" spans="1:7" ht="12.75">
      <c r="A63" s="42">
        <f t="shared" si="2"/>
        <v>45010</v>
      </c>
      <c r="B63" s="34">
        <v>9449801.61</v>
      </c>
      <c r="C63" s="34">
        <v>105672.73</v>
      </c>
      <c r="D63" s="34">
        <f t="shared" si="0"/>
        <v>8667491.169999998</v>
      </c>
      <c r="E63" s="34">
        <v>676637.7100000002</v>
      </c>
      <c r="F63" s="35">
        <v>512</v>
      </c>
      <c r="G63" s="34">
        <f t="shared" si="4"/>
        <v>188.79400390625005</v>
      </c>
    </row>
    <row r="64" ht="12.75">
      <c r="A64" s="42"/>
    </row>
    <row r="65" spans="1:7" ht="13.5" thickBot="1">
      <c r="A65" s="36" t="s">
        <v>8</v>
      </c>
      <c r="B65" s="17">
        <f>IF(SUM(B12:B64)=0,"",SUM(B12:B64))</f>
        <v>397879297.27</v>
      </c>
      <c r="C65" s="17">
        <f>IF(SUM(C12:C64)=0,"",SUM(C12:C64))</f>
        <v>4528941.54</v>
      </c>
      <c r="D65" s="17">
        <f>IF(SUM(D12:D64)=0,"",SUM(D12:D64))</f>
        <v>364301123.45</v>
      </c>
      <c r="E65" s="17">
        <f>IF(SUM(E12:E64)=0,"",SUM(E12:E64))</f>
        <v>29049232.279999997</v>
      </c>
      <c r="F65" s="23">
        <f>_xlfn.IFERROR(SUM(F12:F64)/COUNT(F12:F64)," ")</f>
        <v>511.86538461538464</v>
      </c>
      <c r="G65" s="40">
        <f>_xlfn.IFERROR((E65/SUM(F12:F64)/7)," ")</f>
        <v>155.91127195830805</v>
      </c>
    </row>
    <row r="66" spans="1:5" s="37" customFormat="1" ht="13.5" thickTop="1">
      <c r="A66" s="39"/>
      <c r="B66" s="38"/>
      <c r="C66" s="38"/>
      <c r="D66" s="38"/>
      <c r="E66" s="38"/>
    </row>
  </sheetData>
  <sheetProtection/>
  <mergeCells count="6">
    <mergeCell ref="A1:G1"/>
    <mergeCell ref="A2:G2"/>
    <mergeCell ref="A3:G3"/>
    <mergeCell ref="A4:G4"/>
    <mergeCell ref="A5:G5"/>
    <mergeCell ref="A7:G7"/>
  </mergeCells>
  <hyperlinks>
    <hyperlink ref="A4" r:id="rId1" display="www.vernondowns.com"/>
  </hyperlinks>
  <printOptions horizontalCentered="1"/>
  <pageMargins left="0" right="0" top="0.5" bottom="0.5" header="0.5" footer="0.5"/>
  <pageSetup fitToHeight="1" fitToWidth="1" horizontalDpi="600" verticalDpi="600" orientation="portrait" scale="87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PageLayoutView="0" workbookViewId="0" topLeftCell="A1">
      <pane ySplit="10" topLeftCell="A49" activePane="bottomLeft" state="frozen"/>
      <selection pane="topLeft" activeCell="A1" sqref="A1"/>
      <selection pane="bottomLeft" activeCell="B67" sqref="B67"/>
    </sheetView>
  </sheetViews>
  <sheetFormatPr defaultColWidth="9.140625" defaultRowHeight="12.75"/>
  <cols>
    <col min="1" max="1" width="15.7109375" style="36" customWidth="1"/>
    <col min="2" max="5" width="15.7109375" style="34" customWidth="1"/>
    <col min="6" max="6" width="15.7109375" style="35" customWidth="1"/>
    <col min="7" max="7" width="15.7109375" style="34" customWidth="1"/>
    <col min="8" max="16384" width="9.140625" style="33" customWidth="1"/>
  </cols>
  <sheetData>
    <row r="1" spans="1:11" ht="18">
      <c r="A1" s="61" t="s">
        <v>19</v>
      </c>
      <c r="B1" s="61"/>
      <c r="C1" s="61"/>
      <c r="D1" s="61"/>
      <c r="E1" s="61"/>
      <c r="F1" s="61"/>
      <c r="G1" s="61"/>
      <c r="H1" s="58"/>
      <c r="I1" s="58"/>
      <c r="J1" s="58"/>
      <c r="K1" s="58"/>
    </row>
    <row r="2" spans="1:11" ht="15">
      <c r="A2" s="62" t="s">
        <v>15</v>
      </c>
      <c r="B2" s="62"/>
      <c r="C2" s="62"/>
      <c r="D2" s="62"/>
      <c r="E2" s="62"/>
      <c r="F2" s="62"/>
      <c r="G2" s="62"/>
      <c r="H2" s="57"/>
      <c r="I2" s="57"/>
      <c r="J2" s="57"/>
      <c r="K2" s="57"/>
    </row>
    <row r="3" spans="1:11" s="50" customFormat="1" ht="15">
      <c r="A3" s="62" t="s">
        <v>16</v>
      </c>
      <c r="B3" s="62"/>
      <c r="C3" s="62"/>
      <c r="D3" s="62"/>
      <c r="E3" s="62"/>
      <c r="F3" s="62"/>
      <c r="G3" s="62"/>
      <c r="H3" s="57"/>
      <c r="I3" s="57"/>
      <c r="J3" s="57"/>
      <c r="K3" s="57"/>
    </row>
    <row r="4" spans="1:11" s="50" customFormat="1" ht="14.25" customHeight="1">
      <c r="A4" s="63" t="s">
        <v>17</v>
      </c>
      <c r="B4" s="63"/>
      <c r="C4" s="63"/>
      <c r="D4" s="63"/>
      <c r="E4" s="63"/>
      <c r="F4" s="63"/>
      <c r="G4" s="63"/>
      <c r="H4" s="27"/>
      <c r="I4" s="27"/>
      <c r="J4" s="27"/>
      <c r="K4" s="27"/>
    </row>
    <row r="5" spans="1:11" s="50" customFormat="1" ht="14.25">
      <c r="A5" s="64" t="s">
        <v>18</v>
      </c>
      <c r="B5" s="64"/>
      <c r="C5" s="64"/>
      <c r="D5" s="64"/>
      <c r="E5" s="64"/>
      <c r="F5" s="64"/>
      <c r="G5" s="64"/>
      <c r="H5" s="56"/>
      <c r="I5" s="56"/>
      <c r="J5" s="56"/>
      <c r="K5" s="56"/>
    </row>
    <row r="6" spans="1:11" s="50" customFormat="1" ht="21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7" s="54" customFormat="1" ht="14.25" customHeight="1">
      <c r="A7" s="65" t="s">
        <v>33</v>
      </c>
      <c r="B7" s="66"/>
      <c r="C7" s="66"/>
      <c r="D7" s="66"/>
      <c r="E7" s="66"/>
      <c r="F7" s="66"/>
      <c r="G7" s="67"/>
    </row>
    <row r="8" spans="1:7" s="50" customFormat="1" ht="9" customHeight="1">
      <c r="A8" s="36"/>
      <c r="B8" s="53"/>
      <c r="C8" s="53"/>
      <c r="D8" s="53"/>
      <c r="E8" s="51"/>
      <c r="F8" s="52"/>
      <c r="G8" s="51"/>
    </row>
    <row r="9" spans="1:7" s="43" customFormat="1" ht="12">
      <c r="A9" s="49"/>
      <c r="B9" s="47" t="s">
        <v>0</v>
      </c>
      <c r="C9" s="47" t="s">
        <v>22</v>
      </c>
      <c r="D9" s="47" t="s">
        <v>0</v>
      </c>
      <c r="E9" s="47"/>
      <c r="F9" s="48" t="s">
        <v>1</v>
      </c>
      <c r="G9" s="47" t="s">
        <v>2</v>
      </c>
    </row>
    <row r="10" spans="1:7" s="43" customFormat="1" ht="12">
      <c r="A10" s="46" t="s">
        <v>11</v>
      </c>
      <c r="B10" s="44" t="s">
        <v>3</v>
      </c>
      <c r="C10" s="44" t="s">
        <v>24</v>
      </c>
      <c r="D10" s="44" t="s">
        <v>4</v>
      </c>
      <c r="E10" s="44" t="s">
        <v>5</v>
      </c>
      <c r="F10" s="45" t="s">
        <v>6</v>
      </c>
      <c r="G10" s="44" t="s">
        <v>7</v>
      </c>
    </row>
    <row r="12" spans="1:7" ht="12.75">
      <c r="A12" s="22">
        <v>44289</v>
      </c>
      <c r="B12" s="34">
        <v>6664552.000000001</v>
      </c>
      <c r="C12" s="34">
        <v>72720.68000000001</v>
      </c>
      <c r="D12" s="34">
        <f aca="true" t="shared" si="0" ref="D12:D63">IF(ISBLANK(B12),"",B12-C12-E12)</f>
        <v>6109782.020000001</v>
      </c>
      <c r="E12" s="34">
        <v>482049.3</v>
      </c>
      <c r="F12" s="35">
        <v>223</v>
      </c>
      <c r="G12" s="34">
        <f aca="true" t="shared" si="1" ref="G12:G35">IF(ISBLANK(B12),"",E12/F12/7)</f>
        <v>308.80800768737987</v>
      </c>
    </row>
    <row r="13" spans="1:7" ht="12.75">
      <c r="A13" s="42">
        <f aca="true" t="shared" si="2" ref="A13:A63">+A12+7</f>
        <v>44296</v>
      </c>
      <c r="B13" s="34">
        <v>6728941.889999999</v>
      </c>
      <c r="C13" s="34">
        <v>67561.25</v>
      </c>
      <c r="D13" s="34">
        <f>IF(ISBLANK(B13),"",B13-C13-E13)</f>
        <v>6155195.509999999</v>
      </c>
      <c r="E13" s="34">
        <v>506185.13000000024</v>
      </c>
      <c r="F13" s="35">
        <v>223</v>
      </c>
      <c r="G13" s="34">
        <f t="shared" si="1"/>
        <v>324.2697821909034</v>
      </c>
    </row>
    <row r="14" spans="1:7" ht="12.75">
      <c r="A14" s="42">
        <f t="shared" si="2"/>
        <v>44303</v>
      </c>
      <c r="B14" s="34">
        <v>6666372.449999999</v>
      </c>
      <c r="C14" s="34">
        <v>49376.16</v>
      </c>
      <c r="D14" s="34">
        <f t="shared" si="0"/>
        <v>6094340.14</v>
      </c>
      <c r="E14" s="34">
        <v>522656.14999999985</v>
      </c>
      <c r="F14" s="35">
        <v>223</v>
      </c>
      <c r="G14" s="34">
        <f t="shared" si="1"/>
        <v>334.8213645099294</v>
      </c>
    </row>
    <row r="15" spans="1:7" ht="12.75">
      <c r="A15" s="42">
        <f t="shared" si="2"/>
        <v>44310</v>
      </c>
      <c r="B15" s="34">
        <v>6499317.530000001</v>
      </c>
      <c r="C15" s="34">
        <v>69503.4</v>
      </c>
      <c r="D15" s="34">
        <f>IF(ISBLANK(B15),"",B15-C15-E15)</f>
        <v>5937230.340000001</v>
      </c>
      <c r="E15" s="34">
        <v>492583.79</v>
      </c>
      <c r="F15" s="35">
        <v>223</v>
      </c>
      <c r="G15" s="34">
        <f t="shared" si="1"/>
        <v>315.5565598975016</v>
      </c>
    </row>
    <row r="16" spans="1:7" ht="12.75">
      <c r="A16" s="42">
        <f t="shared" si="2"/>
        <v>44317</v>
      </c>
      <c r="B16" s="34">
        <v>7086266.82</v>
      </c>
      <c r="C16" s="34">
        <v>61701</v>
      </c>
      <c r="D16" s="34">
        <f>IF(ISBLANK(B16),"",B16-C16-E16)</f>
        <v>6537310.3100000005</v>
      </c>
      <c r="E16" s="34">
        <v>487255.51</v>
      </c>
      <c r="F16" s="35">
        <v>223</v>
      </c>
      <c r="G16" s="34">
        <f t="shared" si="1"/>
        <v>312.1431838565022</v>
      </c>
    </row>
    <row r="17" spans="1:7" ht="12.75">
      <c r="A17" s="42">
        <f t="shared" si="2"/>
        <v>44324</v>
      </c>
      <c r="B17" s="34">
        <v>6374239.1</v>
      </c>
      <c r="C17" s="34">
        <v>46235.9</v>
      </c>
      <c r="D17" s="34">
        <f aca="true" t="shared" si="3" ref="D17:D35">IF(ISBLANK(B17),"",B17-C17-E17)</f>
        <v>5880353.359999999</v>
      </c>
      <c r="E17" s="34">
        <v>447649.84</v>
      </c>
      <c r="F17" s="35">
        <v>223</v>
      </c>
      <c r="G17" s="34">
        <f t="shared" si="1"/>
        <v>286.77119795003205</v>
      </c>
    </row>
    <row r="18" spans="1:7" ht="12.75">
      <c r="A18" s="42">
        <f t="shared" si="2"/>
        <v>44331</v>
      </c>
      <c r="B18" s="34">
        <v>6360263.63</v>
      </c>
      <c r="C18" s="34">
        <v>70482.12</v>
      </c>
      <c r="D18" s="34">
        <f t="shared" si="3"/>
        <v>5804681.27</v>
      </c>
      <c r="E18" s="34">
        <v>485100.24</v>
      </c>
      <c r="F18" s="35">
        <v>223</v>
      </c>
      <c r="G18" s="34">
        <f t="shared" si="1"/>
        <v>310.7624855861627</v>
      </c>
    </row>
    <row r="19" spans="1:7" ht="12.75">
      <c r="A19" s="42">
        <f t="shared" si="2"/>
        <v>44338</v>
      </c>
      <c r="B19" s="34">
        <v>5520561.96</v>
      </c>
      <c r="C19" s="34">
        <v>67164.47</v>
      </c>
      <c r="D19" s="34">
        <f t="shared" si="3"/>
        <v>5021947.23</v>
      </c>
      <c r="E19" s="34">
        <v>431450.26</v>
      </c>
      <c r="F19" s="35">
        <v>223</v>
      </c>
      <c r="G19" s="34">
        <f t="shared" si="1"/>
        <v>276.3935041639974</v>
      </c>
    </row>
    <row r="20" spans="1:7" ht="12.75">
      <c r="A20" s="42">
        <f t="shared" si="2"/>
        <v>44345</v>
      </c>
      <c r="B20" s="34">
        <v>6203908.23</v>
      </c>
      <c r="C20" s="34">
        <v>71840.82</v>
      </c>
      <c r="D20" s="34">
        <f t="shared" si="3"/>
        <v>5678066.03</v>
      </c>
      <c r="E20" s="34">
        <v>454001.38</v>
      </c>
      <c r="F20" s="35">
        <v>223</v>
      </c>
      <c r="G20" s="34">
        <f t="shared" si="1"/>
        <v>290.8400896860987</v>
      </c>
    </row>
    <row r="21" spans="1:7" ht="12.75">
      <c r="A21" s="42">
        <f t="shared" si="2"/>
        <v>44352</v>
      </c>
      <c r="B21" s="34">
        <v>7003201.05</v>
      </c>
      <c r="C21" s="34">
        <v>97636.45</v>
      </c>
      <c r="D21" s="34">
        <f t="shared" si="3"/>
        <v>6389665.56</v>
      </c>
      <c r="E21" s="34">
        <v>515899.04</v>
      </c>
      <c r="F21" s="35">
        <v>223</v>
      </c>
      <c r="G21" s="34">
        <f t="shared" si="1"/>
        <v>330.4926585522101</v>
      </c>
    </row>
    <row r="22" spans="1:7" ht="12.75">
      <c r="A22" s="42">
        <f t="shared" si="2"/>
        <v>44359</v>
      </c>
      <c r="B22" s="34">
        <v>6607196.39</v>
      </c>
      <c r="C22" s="34">
        <v>93449.7</v>
      </c>
      <c r="D22" s="34">
        <f t="shared" si="3"/>
        <v>6118495.55</v>
      </c>
      <c r="E22" s="34">
        <v>395251.1399999998</v>
      </c>
      <c r="F22" s="35">
        <v>223</v>
      </c>
      <c r="G22" s="34">
        <f t="shared" si="1"/>
        <v>253.20380525304276</v>
      </c>
    </row>
    <row r="23" spans="1:7" ht="12.75">
      <c r="A23" s="42">
        <f t="shared" si="2"/>
        <v>44366</v>
      </c>
      <c r="B23" s="34">
        <v>6567155.67</v>
      </c>
      <c r="C23" s="34">
        <v>77679.29999999999</v>
      </c>
      <c r="D23" s="34">
        <f t="shared" si="3"/>
        <v>6015102.78</v>
      </c>
      <c r="E23" s="34">
        <v>474373.5900000002</v>
      </c>
      <c r="F23" s="35">
        <v>306</v>
      </c>
      <c r="G23" s="34">
        <f t="shared" si="1"/>
        <v>221.46292717086843</v>
      </c>
    </row>
    <row r="24" spans="1:7" ht="12.75">
      <c r="A24" s="42">
        <f t="shared" si="2"/>
        <v>44373</v>
      </c>
      <c r="B24" s="34">
        <v>7252767.340000001</v>
      </c>
      <c r="C24" s="59">
        <v>-1142479.92</v>
      </c>
      <c r="D24" s="34">
        <f t="shared" si="3"/>
        <v>6669411.430000002</v>
      </c>
      <c r="E24" s="34">
        <v>1725835.83</v>
      </c>
      <c r="F24" s="35">
        <v>512</v>
      </c>
      <c r="G24" s="34">
        <f t="shared" si="1"/>
        <v>481.5390150669643</v>
      </c>
    </row>
    <row r="25" spans="1:7" ht="12.75">
      <c r="A25" s="42">
        <f t="shared" si="2"/>
        <v>44380</v>
      </c>
      <c r="B25" s="34">
        <v>8502162.83</v>
      </c>
      <c r="C25" s="34">
        <v>101843.28</v>
      </c>
      <c r="D25" s="34">
        <f t="shared" si="3"/>
        <v>7797091.23</v>
      </c>
      <c r="E25" s="34">
        <v>603228.3200000002</v>
      </c>
      <c r="F25" s="35">
        <v>512</v>
      </c>
      <c r="G25" s="34">
        <f t="shared" si="1"/>
        <v>168.31147321428577</v>
      </c>
    </row>
    <row r="26" spans="1:7" ht="12.75">
      <c r="A26" s="42">
        <f t="shared" si="2"/>
        <v>44387</v>
      </c>
      <c r="B26" s="34">
        <v>7758064.55</v>
      </c>
      <c r="C26" s="34">
        <v>83855.02</v>
      </c>
      <c r="D26" s="34">
        <f t="shared" si="3"/>
        <v>7131504.21</v>
      </c>
      <c r="E26" s="34">
        <v>542705.32</v>
      </c>
      <c r="F26" s="35">
        <v>512</v>
      </c>
      <c r="G26" s="34">
        <f t="shared" si="1"/>
        <v>151.42447544642854</v>
      </c>
    </row>
    <row r="27" spans="1:7" ht="12.75">
      <c r="A27" s="42">
        <f t="shared" si="2"/>
        <v>44394</v>
      </c>
      <c r="B27" s="34">
        <v>7609661.470000001</v>
      </c>
      <c r="C27" s="34">
        <v>80269.15000000001</v>
      </c>
      <c r="D27" s="34">
        <f t="shared" si="3"/>
        <v>6972699.65</v>
      </c>
      <c r="E27" s="34">
        <v>556692.67</v>
      </c>
      <c r="F27" s="35">
        <v>512</v>
      </c>
      <c r="G27" s="34">
        <f t="shared" si="1"/>
        <v>155.32719587053572</v>
      </c>
    </row>
    <row r="28" spans="1:7" ht="12.75">
      <c r="A28" s="42">
        <f t="shared" si="2"/>
        <v>44401</v>
      </c>
      <c r="B28" s="34">
        <v>7269613.09</v>
      </c>
      <c r="C28" s="34">
        <v>60968.130000000005</v>
      </c>
      <c r="D28" s="34">
        <f t="shared" si="3"/>
        <v>6601944.16</v>
      </c>
      <c r="E28" s="34">
        <v>606700.8</v>
      </c>
      <c r="F28" s="35">
        <v>512</v>
      </c>
      <c r="G28" s="34">
        <f t="shared" si="1"/>
        <v>169.28035714285716</v>
      </c>
    </row>
    <row r="29" spans="1:7" ht="12.75">
      <c r="A29" s="42">
        <f t="shared" si="2"/>
        <v>44408</v>
      </c>
      <c r="B29" s="34">
        <v>7784508.550000001</v>
      </c>
      <c r="C29" s="34">
        <v>93654.84</v>
      </c>
      <c r="D29" s="34">
        <f t="shared" si="3"/>
        <v>7158428.28</v>
      </c>
      <c r="E29" s="34">
        <v>532425.4300000003</v>
      </c>
      <c r="F29" s="35">
        <v>512</v>
      </c>
      <c r="G29" s="34">
        <f t="shared" si="1"/>
        <v>148.55620256696437</v>
      </c>
    </row>
    <row r="30" spans="1:7" ht="12.75">
      <c r="A30" s="42">
        <f t="shared" si="2"/>
        <v>44415</v>
      </c>
      <c r="B30" s="34">
        <v>7320505.32</v>
      </c>
      <c r="C30" s="34">
        <v>102476.5</v>
      </c>
      <c r="D30" s="34">
        <f t="shared" si="3"/>
        <v>6678900.010000001</v>
      </c>
      <c r="E30" s="34">
        <v>539128.8099999999</v>
      </c>
      <c r="F30" s="35">
        <v>512</v>
      </c>
      <c r="G30" s="34">
        <f t="shared" si="1"/>
        <v>150.42656529017856</v>
      </c>
    </row>
    <row r="31" spans="1:7" ht="12.75">
      <c r="A31" s="42">
        <f t="shared" si="2"/>
        <v>44422</v>
      </c>
      <c r="B31" s="34">
        <v>7778264.869999999</v>
      </c>
      <c r="C31" s="34">
        <v>97309.1</v>
      </c>
      <c r="D31" s="34">
        <f t="shared" si="3"/>
        <v>7173725.56</v>
      </c>
      <c r="E31" s="34">
        <v>507230.20999999996</v>
      </c>
      <c r="F31" s="35">
        <v>512</v>
      </c>
      <c r="G31" s="34">
        <f t="shared" si="1"/>
        <v>141.5262862723214</v>
      </c>
    </row>
    <row r="32" spans="1:7" ht="12.75">
      <c r="A32" s="42">
        <f t="shared" si="2"/>
        <v>44429</v>
      </c>
      <c r="B32" s="34">
        <v>6991427.130000001</v>
      </c>
      <c r="C32" s="34">
        <v>58487.55</v>
      </c>
      <c r="D32" s="34">
        <f t="shared" si="3"/>
        <v>6403362.220000001</v>
      </c>
      <c r="E32" s="34">
        <v>529577.3600000002</v>
      </c>
      <c r="F32" s="35">
        <v>512</v>
      </c>
      <c r="G32" s="34">
        <f t="shared" si="1"/>
        <v>147.7615401785715</v>
      </c>
    </row>
    <row r="33" spans="1:7" ht="12.75">
      <c r="A33" s="42">
        <f t="shared" si="2"/>
        <v>44436</v>
      </c>
      <c r="B33" s="34">
        <v>7406141.82</v>
      </c>
      <c r="C33" s="34">
        <v>86360.85</v>
      </c>
      <c r="D33" s="34">
        <f t="shared" si="3"/>
        <v>6806372.100000001</v>
      </c>
      <c r="E33" s="34">
        <v>513408.8700000002</v>
      </c>
      <c r="F33" s="35">
        <v>512</v>
      </c>
      <c r="G33" s="34">
        <f t="shared" si="1"/>
        <v>143.2502427455358</v>
      </c>
    </row>
    <row r="34" spans="1:7" ht="12.75">
      <c r="A34" s="42">
        <f t="shared" si="2"/>
        <v>44443</v>
      </c>
      <c r="B34" s="34">
        <v>8355079.1</v>
      </c>
      <c r="C34" s="34">
        <v>115443.35</v>
      </c>
      <c r="D34" s="34">
        <f t="shared" si="3"/>
        <v>7691037.25</v>
      </c>
      <c r="E34" s="34">
        <v>548598.4999999999</v>
      </c>
      <c r="F34" s="35">
        <v>512</v>
      </c>
      <c r="G34" s="34">
        <f t="shared" si="1"/>
        <v>153.0687779017857</v>
      </c>
    </row>
    <row r="35" spans="1:7" ht="12.75">
      <c r="A35" s="42">
        <f t="shared" si="2"/>
        <v>44450</v>
      </c>
      <c r="B35" s="34">
        <v>7906335.17</v>
      </c>
      <c r="C35" s="34">
        <v>99462.7</v>
      </c>
      <c r="D35" s="34">
        <f t="shared" si="3"/>
        <v>7235471.16</v>
      </c>
      <c r="E35" s="34">
        <v>571401.3099999999</v>
      </c>
      <c r="F35" s="35">
        <v>512</v>
      </c>
      <c r="G35" s="34">
        <f t="shared" si="1"/>
        <v>159.43116908482142</v>
      </c>
    </row>
    <row r="36" spans="1:7" ht="12.75">
      <c r="A36" s="42">
        <f t="shared" si="2"/>
        <v>44457</v>
      </c>
      <c r="B36" s="34">
        <v>7259728.540000001</v>
      </c>
      <c r="C36" s="34">
        <v>87138.2</v>
      </c>
      <c r="D36" s="34">
        <f t="shared" si="0"/>
        <v>6645959.9</v>
      </c>
      <c r="E36" s="34">
        <v>526630.4400000001</v>
      </c>
      <c r="F36" s="35">
        <v>512</v>
      </c>
      <c r="G36" s="34">
        <f>IF(ISBLANK(B36),"",E36/F36/7)</f>
        <v>146.93929687500003</v>
      </c>
    </row>
    <row r="37" spans="1:7" ht="12.75">
      <c r="A37" s="42">
        <f t="shared" si="2"/>
        <v>44464</v>
      </c>
      <c r="B37" s="34">
        <v>6980910.35</v>
      </c>
      <c r="C37" s="34">
        <v>69922.15</v>
      </c>
      <c r="D37" s="34">
        <f t="shared" si="0"/>
        <v>6415192.459999999</v>
      </c>
      <c r="E37" s="34">
        <v>495795.74000000005</v>
      </c>
      <c r="F37" s="35">
        <v>512</v>
      </c>
      <c r="G37" s="34">
        <f aca="true" t="shared" si="4" ref="G37:G63">IF(ISBLANK(B37),"",E37/F37/7)</f>
        <v>138.33586495535715</v>
      </c>
    </row>
    <row r="38" spans="1:7" ht="12.75">
      <c r="A38" s="42">
        <f t="shared" si="2"/>
        <v>44471</v>
      </c>
      <c r="B38" s="34">
        <v>7708670.889999999</v>
      </c>
      <c r="C38" s="34">
        <v>122169.13</v>
      </c>
      <c r="D38" s="34">
        <f t="shared" si="0"/>
        <v>7034124.379999999</v>
      </c>
      <c r="E38" s="34">
        <v>552377.3799999999</v>
      </c>
      <c r="F38" s="35">
        <v>512</v>
      </c>
      <c r="G38" s="34">
        <f t="shared" si="4"/>
        <v>154.1231529017857</v>
      </c>
    </row>
    <row r="39" spans="1:7" ht="12.75">
      <c r="A39" s="42">
        <f t="shared" si="2"/>
        <v>44478</v>
      </c>
      <c r="B39" s="60">
        <v>6886917.890000001</v>
      </c>
      <c r="C39" s="60">
        <v>99160.65</v>
      </c>
      <c r="D39" s="34">
        <f t="shared" si="0"/>
        <v>6317345.17</v>
      </c>
      <c r="E39" s="60">
        <v>470412.06999999995</v>
      </c>
      <c r="F39" s="35">
        <v>512</v>
      </c>
      <c r="G39" s="34">
        <f t="shared" si="4"/>
        <v>131.2533677455357</v>
      </c>
    </row>
    <row r="40" spans="1:7" ht="12.75">
      <c r="A40" s="42">
        <f t="shared" si="2"/>
        <v>44485</v>
      </c>
      <c r="B40" s="34">
        <v>6722269.67</v>
      </c>
      <c r="C40" s="34">
        <v>87926.96999999999</v>
      </c>
      <c r="D40" s="34">
        <f t="shared" si="0"/>
        <v>6146976.010000001</v>
      </c>
      <c r="E40" s="34">
        <v>487366.68999999977</v>
      </c>
      <c r="F40" s="35">
        <v>512</v>
      </c>
      <c r="G40" s="34">
        <f t="shared" si="4"/>
        <v>135.98400948660708</v>
      </c>
    </row>
    <row r="41" spans="1:7" ht="12.75">
      <c r="A41" s="42">
        <f t="shared" si="2"/>
        <v>44492</v>
      </c>
      <c r="B41" s="34">
        <v>6976195.96</v>
      </c>
      <c r="C41" s="34">
        <v>47785.33</v>
      </c>
      <c r="D41" s="34">
        <f t="shared" si="0"/>
        <v>6415356.49</v>
      </c>
      <c r="E41" s="34">
        <v>513054.14</v>
      </c>
      <c r="F41" s="35">
        <v>512</v>
      </c>
      <c r="G41" s="34">
        <f t="shared" si="4"/>
        <v>143.15126674107142</v>
      </c>
    </row>
    <row r="42" spans="1:7" ht="12.75">
      <c r="A42" s="42">
        <f t="shared" si="2"/>
        <v>44499</v>
      </c>
      <c r="B42" s="34">
        <v>7949125.199999999</v>
      </c>
      <c r="C42" s="34">
        <v>105656.07</v>
      </c>
      <c r="D42" s="34">
        <f t="shared" si="0"/>
        <v>7218683.969999999</v>
      </c>
      <c r="E42" s="34">
        <v>624785.16</v>
      </c>
      <c r="F42" s="35">
        <v>512</v>
      </c>
      <c r="G42" s="34">
        <f t="shared" si="4"/>
        <v>174.32621651785715</v>
      </c>
    </row>
    <row r="43" spans="1:7" ht="12.75">
      <c r="A43" s="42">
        <f t="shared" si="2"/>
        <v>44506</v>
      </c>
      <c r="B43" s="34">
        <v>7079668.46</v>
      </c>
      <c r="C43" s="34">
        <v>94379.23999999999</v>
      </c>
      <c r="D43" s="34">
        <f t="shared" si="0"/>
        <v>6546633.859999999</v>
      </c>
      <c r="E43" s="34">
        <v>438655.36000000034</v>
      </c>
      <c r="F43" s="35">
        <v>512</v>
      </c>
      <c r="G43" s="34">
        <f t="shared" si="4"/>
        <v>122.39267857142866</v>
      </c>
    </row>
    <row r="44" spans="1:7" ht="12.75">
      <c r="A44" s="42">
        <f t="shared" si="2"/>
        <v>44513</v>
      </c>
      <c r="B44" s="34">
        <v>7122050.53</v>
      </c>
      <c r="C44" s="34">
        <v>90205.18000000001</v>
      </c>
      <c r="D44" s="34">
        <f t="shared" si="0"/>
        <v>6581817.920000001</v>
      </c>
      <c r="E44" s="34">
        <v>450027.42999999993</v>
      </c>
      <c r="F44" s="35">
        <v>512</v>
      </c>
      <c r="G44" s="34">
        <f t="shared" si="4"/>
        <v>125.56568917410712</v>
      </c>
    </row>
    <row r="45" spans="1:7" ht="12.75">
      <c r="A45" s="42">
        <f t="shared" si="2"/>
        <v>44520</v>
      </c>
      <c r="B45" s="34">
        <v>6374939.1</v>
      </c>
      <c r="C45" s="34">
        <v>83992.15999999999</v>
      </c>
      <c r="D45" s="34">
        <f t="shared" si="0"/>
        <v>5876745.43</v>
      </c>
      <c r="E45" s="34">
        <v>414201.51</v>
      </c>
      <c r="F45" s="35">
        <v>512</v>
      </c>
      <c r="G45" s="34">
        <f t="shared" si="4"/>
        <v>115.56961774553572</v>
      </c>
    </row>
    <row r="46" spans="1:7" ht="12.75">
      <c r="A46" s="42">
        <f t="shared" si="2"/>
        <v>44527</v>
      </c>
      <c r="B46" s="34">
        <v>6799877.529999999</v>
      </c>
      <c r="C46" s="34">
        <v>66030.56</v>
      </c>
      <c r="D46" s="34">
        <f t="shared" si="0"/>
        <v>6223201.92</v>
      </c>
      <c r="E46" s="34">
        <v>510645.0500000001</v>
      </c>
      <c r="F46" s="35">
        <v>512</v>
      </c>
      <c r="G46" s="34">
        <f t="shared" si="4"/>
        <v>142.47908761160718</v>
      </c>
    </row>
    <row r="47" spans="1:7" ht="12.75">
      <c r="A47" s="42">
        <f t="shared" si="2"/>
        <v>44534</v>
      </c>
      <c r="B47" s="34">
        <v>6343049.83</v>
      </c>
      <c r="C47" s="34">
        <v>83123.95999999999</v>
      </c>
      <c r="D47" s="34">
        <f t="shared" si="0"/>
        <v>5848828.58</v>
      </c>
      <c r="E47" s="34">
        <v>411097.29000000015</v>
      </c>
      <c r="F47" s="35">
        <v>512</v>
      </c>
      <c r="G47" s="34">
        <f t="shared" si="4"/>
        <v>114.70348493303575</v>
      </c>
    </row>
    <row r="48" spans="1:7" ht="12.75">
      <c r="A48" s="42">
        <f t="shared" si="2"/>
        <v>44541</v>
      </c>
      <c r="B48" s="34">
        <v>5828669.050000001</v>
      </c>
      <c r="C48" s="34">
        <v>46589.5</v>
      </c>
      <c r="D48" s="34">
        <f t="shared" si="0"/>
        <v>5394456.15</v>
      </c>
      <c r="E48" s="34">
        <v>387623.40000000014</v>
      </c>
      <c r="F48" s="35">
        <v>512</v>
      </c>
      <c r="G48" s="34">
        <f t="shared" si="4"/>
        <v>108.1538504464286</v>
      </c>
    </row>
    <row r="49" spans="1:7" ht="12.75">
      <c r="A49" s="42">
        <f t="shared" si="2"/>
        <v>44548</v>
      </c>
      <c r="B49" s="34">
        <v>6286755.970000001</v>
      </c>
      <c r="C49" s="34">
        <v>73423.39</v>
      </c>
      <c r="D49" s="34">
        <f t="shared" si="0"/>
        <v>5755916.8100000005</v>
      </c>
      <c r="E49" s="34">
        <v>457415.77</v>
      </c>
      <c r="F49" s="35">
        <v>512</v>
      </c>
      <c r="G49" s="34">
        <f t="shared" si="4"/>
        <v>127.62716796875</v>
      </c>
    </row>
    <row r="50" spans="1:7" ht="12.75">
      <c r="A50" s="42">
        <f t="shared" si="2"/>
        <v>44555</v>
      </c>
      <c r="B50" s="34">
        <v>3928055.75</v>
      </c>
      <c r="C50" s="34">
        <v>45718.44</v>
      </c>
      <c r="D50" s="34">
        <f t="shared" si="0"/>
        <v>3588382</v>
      </c>
      <c r="E50" s="34">
        <v>293955.31</v>
      </c>
      <c r="F50" s="35">
        <v>512</v>
      </c>
      <c r="G50" s="34">
        <f t="shared" si="4"/>
        <v>82.01878069196428</v>
      </c>
    </row>
    <row r="51" spans="1:7" ht="12.75">
      <c r="A51" s="42">
        <f t="shared" si="2"/>
        <v>44562</v>
      </c>
      <c r="B51" s="34">
        <v>9868938.73</v>
      </c>
      <c r="C51" s="34">
        <v>115281.32</v>
      </c>
      <c r="D51" s="34">
        <f t="shared" si="0"/>
        <v>9077147.64</v>
      </c>
      <c r="E51" s="34">
        <v>676509.7699999999</v>
      </c>
      <c r="F51" s="35">
        <v>512</v>
      </c>
      <c r="G51" s="34">
        <f t="shared" si="4"/>
        <v>188.7583063616071</v>
      </c>
    </row>
    <row r="52" spans="1:7" ht="12.75">
      <c r="A52" s="42">
        <f t="shared" si="2"/>
        <v>44569</v>
      </c>
      <c r="B52" s="34">
        <v>4912017.600000001</v>
      </c>
      <c r="C52" s="34">
        <v>64027.899999999994</v>
      </c>
      <c r="D52" s="34">
        <f t="shared" si="0"/>
        <v>4477835.38</v>
      </c>
      <c r="E52" s="34">
        <v>370154.32</v>
      </c>
      <c r="F52" s="35">
        <v>512</v>
      </c>
      <c r="G52" s="34">
        <f t="shared" si="4"/>
        <v>103.27966517857143</v>
      </c>
    </row>
    <row r="53" spans="1:7" ht="12.75">
      <c r="A53" s="42">
        <f t="shared" si="2"/>
        <v>44576</v>
      </c>
      <c r="B53" s="34">
        <v>4780023.73</v>
      </c>
      <c r="C53" s="34">
        <v>59144.1</v>
      </c>
      <c r="D53" s="34">
        <f t="shared" si="0"/>
        <v>4348372.640000001</v>
      </c>
      <c r="E53" s="34">
        <v>372506.99</v>
      </c>
      <c r="F53" s="35">
        <v>512</v>
      </c>
      <c r="G53" s="34">
        <f t="shared" si="4"/>
        <v>103.93610212053571</v>
      </c>
    </row>
    <row r="54" spans="1:7" ht="12.75">
      <c r="A54" s="42">
        <f t="shared" si="2"/>
        <v>44583</v>
      </c>
      <c r="B54" s="34">
        <v>5708495.46</v>
      </c>
      <c r="C54" s="34">
        <v>47244.95</v>
      </c>
      <c r="D54" s="34">
        <f t="shared" si="0"/>
        <v>5240634.09</v>
      </c>
      <c r="E54" s="34">
        <v>420616.4199999998</v>
      </c>
      <c r="F54" s="35">
        <v>512</v>
      </c>
      <c r="G54" s="34">
        <f t="shared" si="4"/>
        <v>117.35949218749995</v>
      </c>
    </row>
    <row r="55" spans="1:7" ht="12.75">
      <c r="A55" s="42">
        <f t="shared" si="2"/>
        <v>44590</v>
      </c>
      <c r="B55" s="34">
        <v>5848726.35</v>
      </c>
      <c r="C55" s="34">
        <v>75474.83</v>
      </c>
      <c r="D55" s="34">
        <f t="shared" si="0"/>
        <v>5435044.09</v>
      </c>
      <c r="E55" s="34">
        <v>338207.43000000005</v>
      </c>
      <c r="F55" s="35">
        <v>512</v>
      </c>
      <c r="G55" s="34">
        <f t="shared" si="4"/>
        <v>94.36591238839287</v>
      </c>
    </row>
    <row r="56" spans="1:7" ht="12.75">
      <c r="A56" s="42">
        <f t="shared" si="2"/>
        <v>44597</v>
      </c>
      <c r="B56" s="34">
        <v>5522343.159999999</v>
      </c>
      <c r="C56" s="34">
        <v>72438.65</v>
      </c>
      <c r="D56" s="34">
        <f t="shared" si="0"/>
        <v>5020635.169999999</v>
      </c>
      <c r="E56" s="34">
        <v>429269.33999999973</v>
      </c>
      <c r="F56" s="35">
        <v>512</v>
      </c>
      <c r="G56" s="34">
        <f t="shared" si="4"/>
        <v>119.7738113839285</v>
      </c>
    </row>
    <row r="57" spans="1:7" ht="12.75">
      <c r="A57" s="42">
        <f t="shared" si="2"/>
        <v>44604</v>
      </c>
      <c r="B57" s="34">
        <v>7372320.760000001</v>
      </c>
      <c r="C57" s="34">
        <v>92267.79000000001</v>
      </c>
      <c r="D57" s="34">
        <f t="shared" si="0"/>
        <v>6754095.920000001</v>
      </c>
      <c r="E57" s="34">
        <v>525957.05</v>
      </c>
      <c r="F57" s="35">
        <v>512</v>
      </c>
      <c r="G57" s="34">
        <f t="shared" si="4"/>
        <v>146.75140904017857</v>
      </c>
    </row>
    <row r="58" spans="1:7" ht="12.75">
      <c r="A58" s="42">
        <f t="shared" si="2"/>
        <v>44611</v>
      </c>
      <c r="B58" s="34">
        <v>6864277.220000001</v>
      </c>
      <c r="C58" s="34">
        <v>91172.31</v>
      </c>
      <c r="D58" s="34">
        <f t="shared" si="0"/>
        <v>6276626.210000001</v>
      </c>
      <c r="E58" s="34">
        <v>496478.7000000002</v>
      </c>
      <c r="F58" s="35">
        <v>512</v>
      </c>
      <c r="G58" s="34">
        <f t="shared" si="4"/>
        <v>138.52642299107148</v>
      </c>
    </row>
    <row r="59" spans="1:7" ht="12.75">
      <c r="A59" s="42">
        <f t="shared" si="2"/>
        <v>44618</v>
      </c>
      <c r="B59" s="34">
        <v>7575740.29</v>
      </c>
      <c r="C59" s="34">
        <v>77027.8</v>
      </c>
      <c r="D59" s="34">
        <f t="shared" si="0"/>
        <v>6918149.73</v>
      </c>
      <c r="E59" s="34">
        <v>580562.76</v>
      </c>
      <c r="F59" s="35">
        <v>512</v>
      </c>
      <c r="G59" s="34">
        <f t="shared" si="4"/>
        <v>161.98737723214285</v>
      </c>
    </row>
    <row r="60" spans="1:7" ht="12.75">
      <c r="A60" s="42">
        <f t="shared" si="2"/>
        <v>44625</v>
      </c>
      <c r="B60" s="34">
        <v>7190994.3599999985</v>
      </c>
      <c r="C60" s="34">
        <v>87970.07999999999</v>
      </c>
      <c r="D60" s="34">
        <f t="shared" si="0"/>
        <v>6635839.599999999</v>
      </c>
      <c r="E60" s="34">
        <v>467184.68000000005</v>
      </c>
      <c r="F60" s="35">
        <v>512</v>
      </c>
      <c r="G60" s="34">
        <f t="shared" si="4"/>
        <v>130.35286830357146</v>
      </c>
    </row>
    <row r="61" spans="1:7" ht="12.75">
      <c r="A61" s="42">
        <f t="shared" si="2"/>
        <v>44632</v>
      </c>
      <c r="B61" s="34">
        <v>6663288.279999999</v>
      </c>
      <c r="C61" s="34">
        <v>81495.91</v>
      </c>
      <c r="D61" s="34">
        <f t="shared" si="0"/>
        <v>6141649.249999999</v>
      </c>
      <c r="E61" s="34">
        <v>440143.11999999976</v>
      </c>
      <c r="F61" s="35">
        <v>512</v>
      </c>
      <c r="G61" s="34">
        <f t="shared" si="4"/>
        <v>122.80779017857137</v>
      </c>
    </row>
    <row r="62" spans="1:7" ht="12.75">
      <c r="A62" s="42">
        <f t="shared" si="2"/>
        <v>44639</v>
      </c>
      <c r="B62" s="34">
        <v>8163647.3</v>
      </c>
      <c r="C62" s="34">
        <v>86862.82</v>
      </c>
      <c r="D62" s="34">
        <f t="shared" si="0"/>
        <v>7489419.67</v>
      </c>
      <c r="E62" s="34">
        <v>587364.81</v>
      </c>
      <c r="F62" s="35">
        <v>512</v>
      </c>
      <c r="G62" s="34">
        <f t="shared" si="4"/>
        <v>163.88527064732145</v>
      </c>
    </row>
    <row r="63" spans="1:7" ht="12.75">
      <c r="A63" s="42">
        <f t="shared" si="2"/>
        <v>44646</v>
      </c>
      <c r="B63" s="34">
        <v>7580121.65</v>
      </c>
      <c r="C63" s="34">
        <v>91555.98999999999</v>
      </c>
      <c r="D63" s="34">
        <f t="shared" si="0"/>
        <v>6941130.23</v>
      </c>
      <c r="E63" s="34">
        <v>547435.43</v>
      </c>
      <c r="F63" s="35">
        <v>512</v>
      </c>
      <c r="G63" s="34">
        <f t="shared" si="4"/>
        <v>152.7442606026786</v>
      </c>
    </row>
    <row r="64" ht="12.75">
      <c r="A64" s="42"/>
    </row>
    <row r="65" spans="1:7" ht="13.5" thickBot="1">
      <c r="A65" s="36" t="s">
        <v>8</v>
      </c>
      <c r="B65" s="17">
        <f>IF(SUM(B12:B64)=0,"",SUM(B12:B64))</f>
        <v>358514327.57000005</v>
      </c>
      <c r="C65" s="17">
        <f>IF(SUM(C12:C64)=0,"",SUM(C12:C64))</f>
        <v>2928187.1799999997</v>
      </c>
      <c r="D65" s="17">
        <f>IF(SUM(D12:D64)=0,"",SUM(D12:D64))</f>
        <v>328828318.03000003</v>
      </c>
      <c r="E65" s="17">
        <f>IF(SUM(E12:E64)=0,"",SUM(E12:E64))</f>
        <v>26757822.359999996</v>
      </c>
      <c r="F65" s="23">
        <f>_xlfn.IFERROR(SUM(F12:F64)/COUNT(F12:F64)," ")</f>
        <v>446.90384615384613</v>
      </c>
      <c r="G65" s="40">
        <f>_xlfn.IFERROR((E65/SUM(F12:F64)/7)," ")</f>
        <v>164.48840532848104</v>
      </c>
    </row>
    <row r="66" spans="1:5" s="37" customFormat="1" ht="13.5" thickTop="1">
      <c r="A66" s="39"/>
      <c r="B66" s="38"/>
      <c r="C66" s="38"/>
      <c r="D66" s="38"/>
      <c r="E66" s="38"/>
    </row>
  </sheetData>
  <sheetProtection/>
  <mergeCells count="6">
    <mergeCell ref="A1:G1"/>
    <mergeCell ref="A2:G2"/>
    <mergeCell ref="A3:G3"/>
    <mergeCell ref="A4:G4"/>
    <mergeCell ref="A5:G5"/>
    <mergeCell ref="A7:G7"/>
  </mergeCells>
  <hyperlinks>
    <hyperlink ref="A4" r:id="rId1" display="www.vernondowns.com"/>
  </hyperlinks>
  <printOptions horizontalCentered="1"/>
  <pageMargins left="0" right="0" top="0.5" bottom="0.5" header="0.5" footer="0.5"/>
  <pageSetup fitToHeight="1" fitToWidth="1" horizontalDpi="600" verticalDpi="600" orientation="portrait" scale="87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PageLayoutView="0" workbookViewId="0" topLeftCell="A1">
      <pane ySplit="10" topLeftCell="A52" activePane="bottomLeft" state="frozen"/>
      <selection pane="topLeft" activeCell="A1" sqref="A1"/>
      <selection pane="bottomLeft" activeCell="B68" sqref="B68"/>
    </sheetView>
  </sheetViews>
  <sheetFormatPr defaultColWidth="9.140625" defaultRowHeight="12.75"/>
  <cols>
    <col min="1" max="1" width="15.7109375" style="36" customWidth="1"/>
    <col min="2" max="5" width="15.7109375" style="34" customWidth="1"/>
    <col min="6" max="6" width="15.7109375" style="35" customWidth="1"/>
    <col min="7" max="7" width="15.7109375" style="34" customWidth="1"/>
    <col min="8" max="16384" width="9.140625" style="33" customWidth="1"/>
  </cols>
  <sheetData>
    <row r="1" spans="1:11" ht="18">
      <c r="A1" s="61" t="s">
        <v>19</v>
      </c>
      <c r="B1" s="61"/>
      <c r="C1" s="61"/>
      <c r="D1" s="61"/>
      <c r="E1" s="61"/>
      <c r="F1" s="61"/>
      <c r="G1" s="61"/>
      <c r="H1" s="58"/>
      <c r="I1" s="58"/>
      <c r="J1" s="58"/>
      <c r="K1" s="58"/>
    </row>
    <row r="2" spans="1:11" ht="15">
      <c r="A2" s="62" t="s">
        <v>15</v>
      </c>
      <c r="B2" s="62"/>
      <c r="C2" s="62"/>
      <c r="D2" s="62"/>
      <c r="E2" s="62"/>
      <c r="F2" s="62"/>
      <c r="G2" s="62"/>
      <c r="H2" s="57"/>
      <c r="I2" s="57"/>
      <c r="J2" s="57"/>
      <c r="K2" s="57"/>
    </row>
    <row r="3" spans="1:11" s="50" customFormat="1" ht="15">
      <c r="A3" s="62" t="s">
        <v>16</v>
      </c>
      <c r="B3" s="62"/>
      <c r="C3" s="62"/>
      <c r="D3" s="62"/>
      <c r="E3" s="62"/>
      <c r="F3" s="62"/>
      <c r="G3" s="62"/>
      <c r="H3" s="57"/>
      <c r="I3" s="57"/>
      <c r="J3" s="57"/>
      <c r="K3" s="57"/>
    </row>
    <row r="4" spans="1:11" s="50" customFormat="1" ht="14.25" customHeight="1">
      <c r="A4" s="63" t="s">
        <v>17</v>
      </c>
      <c r="B4" s="63"/>
      <c r="C4" s="63"/>
      <c r="D4" s="63"/>
      <c r="E4" s="63"/>
      <c r="F4" s="63"/>
      <c r="G4" s="63"/>
      <c r="H4" s="27"/>
      <c r="I4" s="27"/>
      <c r="J4" s="27"/>
      <c r="K4" s="27"/>
    </row>
    <row r="5" spans="1:11" s="50" customFormat="1" ht="14.25">
      <c r="A5" s="64" t="s">
        <v>18</v>
      </c>
      <c r="B5" s="64"/>
      <c r="C5" s="64"/>
      <c r="D5" s="64"/>
      <c r="E5" s="64"/>
      <c r="F5" s="64"/>
      <c r="G5" s="64"/>
      <c r="H5" s="56"/>
      <c r="I5" s="56"/>
      <c r="J5" s="56"/>
      <c r="K5" s="56"/>
    </row>
    <row r="6" spans="1:11" s="50" customFormat="1" ht="21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7" s="54" customFormat="1" ht="14.25" customHeight="1">
      <c r="A7" s="65" t="s">
        <v>32</v>
      </c>
      <c r="B7" s="66"/>
      <c r="C7" s="66"/>
      <c r="D7" s="66"/>
      <c r="E7" s="66"/>
      <c r="F7" s="66"/>
      <c r="G7" s="67"/>
    </row>
    <row r="8" spans="1:7" s="50" customFormat="1" ht="9" customHeight="1">
      <c r="A8" s="36"/>
      <c r="B8" s="53"/>
      <c r="C8" s="53"/>
      <c r="D8" s="53"/>
      <c r="E8" s="51"/>
      <c r="F8" s="52"/>
      <c r="G8" s="51"/>
    </row>
    <row r="9" spans="1:7" s="43" customFormat="1" ht="12">
      <c r="A9" s="49"/>
      <c r="B9" s="47" t="s">
        <v>0</v>
      </c>
      <c r="C9" s="47" t="s">
        <v>22</v>
      </c>
      <c r="D9" s="47" t="s">
        <v>0</v>
      </c>
      <c r="E9" s="47"/>
      <c r="F9" s="48" t="s">
        <v>1</v>
      </c>
      <c r="G9" s="47" t="s">
        <v>2</v>
      </c>
    </row>
    <row r="10" spans="1:7" s="43" customFormat="1" ht="12">
      <c r="A10" s="46" t="s">
        <v>11</v>
      </c>
      <c r="B10" s="44" t="s">
        <v>3</v>
      </c>
      <c r="C10" s="44" t="s">
        <v>24</v>
      </c>
      <c r="D10" s="44" t="s">
        <v>4</v>
      </c>
      <c r="E10" s="44" t="s">
        <v>5</v>
      </c>
      <c r="F10" s="45" t="s">
        <v>6</v>
      </c>
      <c r="G10" s="44" t="s">
        <v>7</v>
      </c>
    </row>
    <row r="12" spans="1:7" ht="12.75">
      <c r="A12" s="22">
        <v>43918</v>
      </c>
      <c r="B12" s="34">
        <v>0</v>
      </c>
      <c r="C12" s="34">
        <v>0</v>
      </c>
      <c r="D12" s="34">
        <f aca="true" t="shared" si="0" ref="D12:D63">IF(ISBLANK(B12),"",B12-C12-E12)</f>
        <v>0</v>
      </c>
      <c r="E12" s="34">
        <v>0</v>
      </c>
      <c r="F12" s="35">
        <v>0</v>
      </c>
      <c r="G12" s="34">
        <v>0</v>
      </c>
    </row>
    <row r="13" spans="1:7" ht="12.75">
      <c r="A13" s="42">
        <f aca="true" t="shared" si="1" ref="A13:A64">+A12+7</f>
        <v>43925</v>
      </c>
      <c r="B13" s="34">
        <v>0</v>
      </c>
      <c r="C13" s="34">
        <v>0</v>
      </c>
      <c r="D13" s="34">
        <f>IF(ISBLANK(B13),"",B13-C13-E13)</f>
        <v>0</v>
      </c>
      <c r="E13" s="34">
        <v>0</v>
      </c>
      <c r="F13" s="35">
        <v>0</v>
      </c>
      <c r="G13" s="34">
        <v>0</v>
      </c>
    </row>
    <row r="14" spans="1:7" ht="12.75">
      <c r="A14" s="42">
        <f t="shared" si="1"/>
        <v>43932</v>
      </c>
      <c r="B14" s="34">
        <v>0</v>
      </c>
      <c r="C14" s="34">
        <v>0</v>
      </c>
      <c r="D14" s="34">
        <f t="shared" si="0"/>
        <v>0</v>
      </c>
      <c r="E14" s="34">
        <v>0</v>
      </c>
      <c r="F14" s="35">
        <v>0</v>
      </c>
      <c r="G14" s="34">
        <v>0</v>
      </c>
    </row>
    <row r="15" spans="1:7" ht="12.75">
      <c r="A15" s="42">
        <f t="shared" si="1"/>
        <v>43939</v>
      </c>
      <c r="B15" s="34">
        <v>0</v>
      </c>
      <c r="C15" s="34">
        <v>0</v>
      </c>
      <c r="D15" s="34">
        <f>IF(ISBLANK(B15),"",B15-C15-E15)</f>
        <v>0</v>
      </c>
      <c r="E15" s="34">
        <v>0</v>
      </c>
      <c r="F15" s="35">
        <v>0</v>
      </c>
      <c r="G15" s="34">
        <v>0</v>
      </c>
    </row>
    <row r="16" spans="1:7" ht="12.75">
      <c r="A16" s="42">
        <f t="shared" si="1"/>
        <v>43946</v>
      </c>
      <c r="B16" s="34">
        <v>0</v>
      </c>
      <c r="C16" s="34">
        <v>0</v>
      </c>
      <c r="D16" s="34">
        <f>IF(ISBLANK(B16),"",B16-C16-E16)</f>
        <v>0</v>
      </c>
      <c r="E16" s="34">
        <v>0</v>
      </c>
      <c r="F16" s="35">
        <v>0</v>
      </c>
      <c r="G16" s="34">
        <v>0</v>
      </c>
    </row>
    <row r="17" spans="1:7" ht="12.75">
      <c r="A17" s="42">
        <f t="shared" si="1"/>
        <v>43953</v>
      </c>
      <c r="B17" s="34">
        <v>0</v>
      </c>
      <c r="C17" s="34">
        <v>0</v>
      </c>
      <c r="D17" s="34">
        <f aca="true" t="shared" si="2" ref="D17:D35">IF(ISBLANK(B17),"",B17-C17-E17)</f>
        <v>0</v>
      </c>
      <c r="E17" s="34">
        <v>0</v>
      </c>
      <c r="F17" s="35">
        <v>0</v>
      </c>
      <c r="G17" s="34">
        <v>0</v>
      </c>
    </row>
    <row r="18" spans="1:7" ht="12.75">
      <c r="A18" s="42">
        <f t="shared" si="1"/>
        <v>43960</v>
      </c>
      <c r="B18" s="34">
        <v>0</v>
      </c>
      <c r="C18" s="34">
        <v>0</v>
      </c>
      <c r="D18" s="34">
        <f t="shared" si="2"/>
        <v>0</v>
      </c>
      <c r="E18" s="34">
        <v>0</v>
      </c>
      <c r="F18" s="35">
        <v>0</v>
      </c>
      <c r="G18" s="34">
        <v>0</v>
      </c>
    </row>
    <row r="19" spans="1:7" ht="12.75">
      <c r="A19" s="42">
        <f t="shared" si="1"/>
        <v>43967</v>
      </c>
      <c r="B19" s="34">
        <v>0</v>
      </c>
      <c r="C19" s="34">
        <v>0</v>
      </c>
      <c r="D19" s="34">
        <f t="shared" si="2"/>
        <v>0</v>
      </c>
      <c r="E19" s="34">
        <v>0</v>
      </c>
      <c r="F19" s="35">
        <v>0</v>
      </c>
      <c r="G19" s="34">
        <v>0</v>
      </c>
    </row>
    <row r="20" spans="1:7" ht="12.75">
      <c r="A20" s="42">
        <f t="shared" si="1"/>
        <v>43974</v>
      </c>
      <c r="B20" s="34">
        <v>0</v>
      </c>
      <c r="C20" s="34">
        <v>0</v>
      </c>
      <c r="D20" s="34">
        <f t="shared" si="2"/>
        <v>0</v>
      </c>
      <c r="E20" s="34">
        <v>0</v>
      </c>
      <c r="F20" s="35">
        <v>0</v>
      </c>
      <c r="G20" s="34">
        <v>0</v>
      </c>
    </row>
    <row r="21" spans="1:7" ht="12.75">
      <c r="A21" s="42">
        <f t="shared" si="1"/>
        <v>43981</v>
      </c>
      <c r="B21" s="34">
        <v>0</v>
      </c>
      <c r="C21" s="34">
        <v>0</v>
      </c>
      <c r="D21" s="34">
        <f t="shared" si="2"/>
        <v>0</v>
      </c>
      <c r="E21" s="34">
        <v>0</v>
      </c>
      <c r="F21" s="35">
        <v>0</v>
      </c>
      <c r="G21" s="34">
        <v>0</v>
      </c>
    </row>
    <row r="22" spans="1:7" ht="12.75">
      <c r="A22" s="42">
        <f t="shared" si="1"/>
        <v>43988</v>
      </c>
      <c r="B22" s="34">
        <v>0</v>
      </c>
      <c r="C22" s="34">
        <v>0</v>
      </c>
      <c r="D22" s="34">
        <f t="shared" si="2"/>
        <v>0</v>
      </c>
      <c r="E22" s="34">
        <v>0</v>
      </c>
      <c r="F22" s="35">
        <v>0</v>
      </c>
      <c r="G22" s="34">
        <v>0</v>
      </c>
    </row>
    <row r="23" spans="1:7" ht="12.75">
      <c r="A23" s="42">
        <f t="shared" si="1"/>
        <v>43995</v>
      </c>
      <c r="B23" s="34">
        <v>0</v>
      </c>
      <c r="C23" s="34">
        <v>0</v>
      </c>
      <c r="D23" s="34">
        <f t="shared" si="2"/>
        <v>0</v>
      </c>
      <c r="E23" s="34">
        <v>0</v>
      </c>
      <c r="F23" s="35">
        <v>0</v>
      </c>
      <c r="G23" s="34">
        <v>0</v>
      </c>
    </row>
    <row r="24" spans="1:7" ht="12.75">
      <c r="A24" s="42">
        <f t="shared" si="1"/>
        <v>44002</v>
      </c>
      <c r="B24" s="34">
        <v>0</v>
      </c>
      <c r="C24" s="34">
        <v>0</v>
      </c>
      <c r="D24" s="34">
        <f t="shared" si="2"/>
        <v>0</v>
      </c>
      <c r="E24" s="34">
        <v>0</v>
      </c>
      <c r="F24" s="35">
        <v>0</v>
      </c>
      <c r="G24" s="34">
        <v>0</v>
      </c>
    </row>
    <row r="25" spans="1:7" ht="12.75">
      <c r="A25" s="42">
        <f t="shared" si="1"/>
        <v>44009</v>
      </c>
      <c r="B25" s="34">
        <v>0</v>
      </c>
      <c r="C25" s="34">
        <v>0</v>
      </c>
      <c r="D25" s="34">
        <f t="shared" si="2"/>
        <v>0</v>
      </c>
      <c r="E25" s="34">
        <v>0</v>
      </c>
      <c r="F25" s="35">
        <v>0</v>
      </c>
      <c r="G25" s="34">
        <v>0</v>
      </c>
    </row>
    <row r="26" spans="1:7" ht="12.75">
      <c r="A26" s="42">
        <f t="shared" si="1"/>
        <v>44016</v>
      </c>
      <c r="B26" s="34">
        <v>0</v>
      </c>
      <c r="C26" s="34">
        <v>0</v>
      </c>
      <c r="D26" s="34">
        <f t="shared" si="2"/>
        <v>0</v>
      </c>
      <c r="E26" s="34">
        <v>0</v>
      </c>
      <c r="F26" s="35">
        <v>0</v>
      </c>
      <c r="G26" s="34">
        <v>0</v>
      </c>
    </row>
    <row r="27" spans="1:7" ht="12.75">
      <c r="A27" s="42">
        <f t="shared" si="1"/>
        <v>44023</v>
      </c>
      <c r="B27" s="34">
        <v>0</v>
      </c>
      <c r="C27" s="34">
        <v>0</v>
      </c>
      <c r="D27" s="34">
        <f t="shared" si="2"/>
        <v>0</v>
      </c>
      <c r="E27" s="34">
        <v>0</v>
      </c>
      <c r="F27" s="35">
        <v>0</v>
      </c>
      <c r="G27" s="34">
        <v>0</v>
      </c>
    </row>
    <row r="28" spans="1:7" ht="12.75">
      <c r="A28" s="42">
        <f t="shared" si="1"/>
        <v>44030</v>
      </c>
      <c r="B28" s="34">
        <v>0</v>
      </c>
      <c r="C28" s="34">
        <v>0</v>
      </c>
      <c r="D28" s="34">
        <f t="shared" si="2"/>
        <v>0</v>
      </c>
      <c r="E28" s="34">
        <v>0</v>
      </c>
      <c r="F28" s="35">
        <v>0</v>
      </c>
      <c r="G28" s="34">
        <v>0</v>
      </c>
    </row>
    <row r="29" spans="1:7" ht="12.75">
      <c r="A29" s="42">
        <f t="shared" si="1"/>
        <v>44037</v>
      </c>
      <c r="B29" s="34">
        <v>0</v>
      </c>
      <c r="C29" s="34">
        <v>0</v>
      </c>
      <c r="D29" s="34">
        <f t="shared" si="2"/>
        <v>0</v>
      </c>
      <c r="E29" s="34">
        <v>0</v>
      </c>
      <c r="F29" s="35">
        <v>0</v>
      </c>
      <c r="G29" s="34">
        <v>0</v>
      </c>
    </row>
    <row r="30" spans="1:7" ht="12.75">
      <c r="A30" s="42">
        <f t="shared" si="1"/>
        <v>44044</v>
      </c>
      <c r="B30" s="34">
        <v>0</v>
      </c>
      <c r="C30" s="34">
        <v>0</v>
      </c>
      <c r="D30" s="34">
        <f t="shared" si="2"/>
        <v>0</v>
      </c>
      <c r="E30" s="34">
        <v>0</v>
      </c>
      <c r="F30" s="35">
        <v>0</v>
      </c>
      <c r="G30" s="34">
        <v>0</v>
      </c>
    </row>
    <row r="31" spans="1:7" ht="12.75">
      <c r="A31" s="42">
        <f t="shared" si="1"/>
        <v>44051</v>
      </c>
      <c r="B31" s="34">
        <v>0</v>
      </c>
      <c r="C31" s="34">
        <v>0</v>
      </c>
      <c r="D31" s="34">
        <f t="shared" si="2"/>
        <v>0</v>
      </c>
      <c r="E31" s="34">
        <v>0</v>
      </c>
      <c r="F31" s="35">
        <v>0</v>
      </c>
      <c r="G31" s="34">
        <v>0</v>
      </c>
    </row>
    <row r="32" spans="1:7" ht="12.75">
      <c r="A32" s="42">
        <f t="shared" si="1"/>
        <v>44058</v>
      </c>
      <c r="B32" s="34">
        <v>0</v>
      </c>
      <c r="C32" s="34">
        <v>0</v>
      </c>
      <c r="D32" s="34">
        <f t="shared" si="2"/>
        <v>0</v>
      </c>
      <c r="E32" s="34">
        <v>0</v>
      </c>
      <c r="F32" s="35">
        <v>0</v>
      </c>
      <c r="G32" s="34">
        <v>0</v>
      </c>
    </row>
    <row r="33" spans="1:7" ht="12.75">
      <c r="A33" s="42">
        <f t="shared" si="1"/>
        <v>44065</v>
      </c>
      <c r="B33" s="34">
        <v>0</v>
      </c>
      <c r="C33" s="34">
        <v>0</v>
      </c>
      <c r="D33" s="34">
        <f t="shared" si="2"/>
        <v>0</v>
      </c>
      <c r="E33" s="34">
        <v>0</v>
      </c>
      <c r="F33" s="35">
        <v>0</v>
      </c>
      <c r="G33" s="34">
        <v>0</v>
      </c>
    </row>
    <row r="34" spans="1:7" ht="12.75">
      <c r="A34" s="42">
        <f t="shared" si="1"/>
        <v>44072</v>
      </c>
      <c r="B34" s="34">
        <v>0</v>
      </c>
      <c r="C34" s="34">
        <v>0</v>
      </c>
      <c r="D34" s="34">
        <f t="shared" si="2"/>
        <v>0</v>
      </c>
      <c r="E34" s="34">
        <v>0</v>
      </c>
      <c r="F34" s="35">
        <v>0</v>
      </c>
      <c r="G34" s="34">
        <v>0</v>
      </c>
    </row>
    <row r="35" spans="1:7" ht="12.75">
      <c r="A35" s="42">
        <f t="shared" si="1"/>
        <v>44079</v>
      </c>
      <c r="B35" s="34">
        <v>0</v>
      </c>
      <c r="C35" s="34">
        <v>0</v>
      </c>
      <c r="D35" s="34">
        <f t="shared" si="2"/>
        <v>0</v>
      </c>
      <c r="E35" s="34">
        <v>0</v>
      </c>
      <c r="F35" s="35">
        <v>0</v>
      </c>
      <c r="G35" s="34">
        <v>0</v>
      </c>
    </row>
    <row r="36" spans="1:7" ht="12.75">
      <c r="A36" s="42">
        <f t="shared" si="1"/>
        <v>44086</v>
      </c>
      <c r="B36" s="34">
        <v>2774188.83</v>
      </c>
      <c r="C36" s="34">
        <v>5035.000000000001</v>
      </c>
      <c r="D36" s="34">
        <f t="shared" si="0"/>
        <v>2570453.79</v>
      </c>
      <c r="E36" s="34">
        <v>198700.03999999992</v>
      </c>
      <c r="F36" s="35">
        <v>208</v>
      </c>
      <c r="G36" s="34">
        <f>IF(ISBLANK(B36),"",E36/F36/4)</f>
        <v>238.82216346153837</v>
      </c>
    </row>
    <row r="37" spans="1:7" ht="12.75">
      <c r="A37" s="42">
        <f t="shared" si="1"/>
        <v>44093</v>
      </c>
      <c r="B37" s="34">
        <v>4113046.4699999997</v>
      </c>
      <c r="C37" s="34">
        <v>8638</v>
      </c>
      <c r="D37" s="34">
        <f t="shared" si="0"/>
        <v>3746077.1700000004</v>
      </c>
      <c r="E37" s="34">
        <v>358331.29999999946</v>
      </c>
      <c r="F37" s="35">
        <v>208</v>
      </c>
      <c r="G37" s="34">
        <f aca="true" t="shared" si="3" ref="G37:G62">IF(ISBLANK(B37),"",E37/F37/7)</f>
        <v>246.1066620879117</v>
      </c>
    </row>
    <row r="38" spans="1:7" ht="12.75">
      <c r="A38" s="42">
        <f t="shared" si="1"/>
        <v>44100</v>
      </c>
      <c r="B38" s="34">
        <v>3921979.63</v>
      </c>
      <c r="C38" s="34">
        <v>16077</v>
      </c>
      <c r="D38" s="34">
        <f t="shared" si="0"/>
        <v>3568469.49</v>
      </c>
      <c r="E38" s="34">
        <v>337433.1399999999</v>
      </c>
      <c r="F38" s="35">
        <v>208</v>
      </c>
      <c r="G38" s="34">
        <f t="shared" si="3"/>
        <v>231.75353021978017</v>
      </c>
    </row>
    <row r="39" spans="1:7" ht="12.75">
      <c r="A39" s="42">
        <f t="shared" si="1"/>
        <v>44107</v>
      </c>
      <c r="B39" s="34">
        <v>4928145.81</v>
      </c>
      <c r="C39" s="34">
        <v>40429.1</v>
      </c>
      <c r="D39" s="34">
        <f t="shared" si="0"/>
        <v>4496899.72</v>
      </c>
      <c r="E39" s="34">
        <v>390816.99</v>
      </c>
      <c r="F39" s="35">
        <v>208</v>
      </c>
      <c r="G39" s="34">
        <f t="shared" si="3"/>
        <v>268.41826236263734</v>
      </c>
    </row>
    <row r="40" spans="1:7" ht="12.75">
      <c r="A40" s="42">
        <f t="shared" si="1"/>
        <v>44114</v>
      </c>
      <c r="B40" s="34">
        <v>4602915.03</v>
      </c>
      <c r="C40" s="34">
        <v>51725.759999999995</v>
      </c>
      <c r="D40" s="34">
        <f t="shared" si="0"/>
        <v>4208468.470000001</v>
      </c>
      <c r="E40" s="34">
        <v>342720.8</v>
      </c>
      <c r="F40" s="35">
        <v>208</v>
      </c>
      <c r="G40" s="34">
        <f t="shared" si="3"/>
        <v>235.38516483516483</v>
      </c>
    </row>
    <row r="41" spans="1:7" ht="12.75">
      <c r="A41" s="42">
        <f t="shared" si="1"/>
        <v>44121</v>
      </c>
      <c r="B41" s="34">
        <v>5042116.02</v>
      </c>
      <c r="C41" s="34">
        <v>58174.51</v>
      </c>
      <c r="D41" s="34">
        <f t="shared" si="0"/>
        <v>4623218.25</v>
      </c>
      <c r="E41" s="34">
        <v>360723.26</v>
      </c>
      <c r="F41" s="35">
        <v>208</v>
      </c>
      <c r="G41" s="34">
        <f t="shared" si="3"/>
        <v>247.74949175824176</v>
      </c>
    </row>
    <row r="42" spans="1:7" ht="12.75">
      <c r="A42" s="42">
        <f t="shared" si="1"/>
        <v>44128</v>
      </c>
      <c r="B42" s="34">
        <v>4732332.87</v>
      </c>
      <c r="C42" s="34">
        <v>26862.28</v>
      </c>
      <c r="D42" s="34">
        <f t="shared" si="0"/>
        <v>4334501.91</v>
      </c>
      <c r="E42" s="34">
        <v>370968.67999999993</v>
      </c>
      <c r="F42" s="35">
        <v>208</v>
      </c>
      <c r="G42" s="34">
        <f t="shared" si="3"/>
        <v>254.78618131868126</v>
      </c>
    </row>
    <row r="43" spans="1:7" ht="12.75">
      <c r="A43" s="42">
        <f t="shared" si="1"/>
        <v>44135</v>
      </c>
      <c r="B43" s="34">
        <v>4910950.73</v>
      </c>
      <c r="C43" s="34">
        <v>61666.17</v>
      </c>
      <c r="D43" s="34">
        <f t="shared" si="0"/>
        <v>4475881.430000001</v>
      </c>
      <c r="E43" s="34">
        <v>373403.1300000002</v>
      </c>
      <c r="F43" s="35">
        <v>208</v>
      </c>
      <c r="G43" s="34">
        <f t="shared" si="3"/>
        <v>256.4581936813188</v>
      </c>
    </row>
    <row r="44" spans="1:7" ht="12.75">
      <c r="A44" s="42">
        <f t="shared" si="1"/>
        <v>44142</v>
      </c>
      <c r="B44" s="34">
        <v>4619142.22</v>
      </c>
      <c r="C44" s="34">
        <v>57928.450000000004</v>
      </c>
      <c r="D44" s="34">
        <f t="shared" si="0"/>
        <v>4224833.529999999</v>
      </c>
      <c r="E44" s="34">
        <v>336380.24</v>
      </c>
      <c r="F44" s="35">
        <v>208</v>
      </c>
      <c r="G44" s="34">
        <f t="shared" si="3"/>
        <v>231.03038461538463</v>
      </c>
    </row>
    <row r="45" spans="1:7" ht="12.75">
      <c r="A45" s="42">
        <f t="shared" si="1"/>
        <v>44149</v>
      </c>
      <c r="B45" s="34">
        <v>4837146.59</v>
      </c>
      <c r="C45" s="34">
        <v>64111.1</v>
      </c>
      <c r="D45" s="34">
        <f t="shared" si="0"/>
        <v>4455382.65</v>
      </c>
      <c r="E45" s="34">
        <v>317652.8400000002</v>
      </c>
      <c r="F45" s="35">
        <v>208</v>
      </c>
      <c r="G45" s="34">
        <f t="shared" si="3"/>
        <v>218.16815934065949</v>
      </c>
    </row>
    <row r="46" spans="1:7" ht="12.75">
      <c r="A46" s="42">
        <f t="shared" si="1"/>
        <v>44156</v>
      </c>
      <c r="B46" s="34">
        <v>3703002.6199999996</v>
      </c>
      <c r="C46" s="34">
        <v>59378.399999999994</v>
      </c>
      <c r="D46" s="34">
        <f t="shared" si="0"/>
        <v>3370979.7699999996</v>
      </c>
      <c r="E46" s="34">
        <v>272644.44999999995</v>
      </c>
      <c r="F46" s="35">
        <v>208</v>
      </c>
      <c r="G46" s="34">
        <f t="shared" si="3"/>
        <v>187.25580357142854</v>
      </c>
    </row>
    <row r="47" spans="1:7" ht="12.75">
      <c r="A47" s="42">
        <f t="shared" si="1"/>
        <v>44163</v>
      </c>
      <c r="B47" s="34">
        <v>4137227.54</v>
      </c>
      <c r="C47" s="34">
        <v>45192.5</v>
      </c>
      <c r="D47" s="34">
        <f t="shared" si="0"/>
        <v>3768168.35</v>
      </c>
      <c r="E47" s="34">
        <v>323866.69000000006</v>
      </c>
      <c r="F47" s="35">
        <v>208</v>
      </c>
      <c r="G47" s="34">
        <f>IF(ISBLANK(B47),"",E47/F47/7)</f>
        <v>222.43591346153852</v>
      </c>
    </row>
    <row r="48" spans="1:7" ht="12.75">
      <c r="A48" s="42">
        <f t="shared" si="1"/>
        <v>44170</v>
      </c>
      <c r="B48" s="34">
        <v>3968515.5</v>
      </c>
      <c r="C48" s="34">
        <v>52074.799999999996</v>
      </c>
      <c r="D48" s="34">
        <f t="shared" si="0"/>
        <v>3645553.18</v>
      </c>
      <c r="E48" s="34">
        <v>270887.51999999996</v>
      </c>
      <c r="F48" s="35">
        <v>217</v>
      </c>
      <c r="G48" s="34">
        <f>IF(ISBLANK(B48),"",E48/F48/7)</f>
        <v>178.3327978933509</v>
      </c>
    </row>
    <row r="49" spans="1:7" ht="12.75">
      <c r="A49" s="42">
        <f t="shared" si="1"/>
        <v>44177</v>
      </c>
      <c r="B49" s="34">
        <v>3750621.83</v>
      </c>
      <c r="C49" s="34">
        <v>51964.92</v>
      </c>
      <c r="D49" s="34">
        <f t="shared" si="0"/>
        <v>3454230.06</v>
      </c>
      <c r="E49" s="34">
        <v>244426.85000000003</v>
      </c>
      <c r="F49" s="35">
        <v>222</v>
      </c>
      <c r="G49" s="34">
        <f t="shared" si="3"/>
        <v>157.2888352638353</v>
      </c>
    </row>
    <row r="50" spans="1:7" ht="12.75">
      <c r="A50" s="42">
        <f t="shared" si="1"/>
        <v>44184</v>
      </c>
      <c r="B50" s="34">
        <v>3334613.05</v>
      </c>
      <c r="C50" s="34">
        <v>44579.56</v>
      </c>
      <c r="D50" s="34">
        <f t="shared" si="0"/>
        <v>3082923.5</v>
      </c>
      <c r="E50" s="34">
        <v>207109.99</v>
      </c>
      <c r="F50" s="35">
        <v>223</v>
      </c>
      <c r="G50" s="34">
        <f t="shared" si="3"/>
        <v>132.67776425368353</v>
      </c>
    </row>
    <row r="51" spans="1:7" ht="12.75">
      <c r="A51" s="42">
        <f t="shared" si="1"/>
        <v>44191</v>
      </c>
      <c r="B51" s="34">
        <v>2765399.4699999997</v>
      </c>
      <c r="C51" s="34">
        <v>42927.46</v>
      </c>
      <c r="D51" s="34">
        <f t="shared" si="0"/>
        <v>2516445.67</v>
      </c>
      <c r="E51" s="34">
        <v>206026.33999999997</v>
      </c>
      <c r="F51" s="35">
        <v>223</v>
      </c>
      <c r="G51" s="34">
        <f>IF(ISBLANK(B51),"",E51/F51/6)</f>
        <v>153.98082212257097</v>
      </c>
    </row>
    <row r="52" spans="1:7" ht="12.75">
      <c r="A52" s="42">
        <f t="shared" si="1"/>
        <v>44198</v>
      </c>
      <c r="B52" s="34">
        <v>4656288.7</v>
      </c>
      <c r="C52" s="34">
        <v>62329.22</v>
      </c>
      <c r="D52" s="34">
        <f t="shared" si="0"/>
        <v>4227136.600000001</v>
      </c>
      <c r="E52" s="34">
        <v>366822.87999999995</v>
      </c>
      <c r="F52" s="35">
        <v>223</v>
      </c>
      <c r="G52" s="34">
        <f t="shared" si="3"/>
        <v>234.99223574631645</v>
      </c>
    </row>
    <row r="53" spans="1:7" ht="12.75">
      <c r="A53" s="42">
        <f t="shared" si="1"/>
        <v>44205</v>
      </c>
      <c r="B53" s="34">
        <v>3837570.81</v>
      </c>
      <c r="C53" s="34">
        <v>32133.46</v>
      </c>
      <c r="D53" s="34">
        <f t="shared" si="0"/>
        <v>3489179.22</v>
      </c>
      <c r="E53" s="34">
        <v>316258.13000000006</v>
      </c>
      <c r="F53" s="35">
        <v>223</v>
      </c>
      <c r="G53" s="34">
        <f t="shared" si="3"/>
        <v>202.59969891095457</v>
      </c>
    </row>
    <row r="54" spans="1:7" ht="12.75">
      <c r="A54" s="42">
        <f t="shared" si="1"/>
        <v>44212</v>
      </c>
      <c r="B54" s="34">
        <v>4055140.8300000005</v>
      </c>
      <c r="C54" s="34">
        <v>51613.35</v>
      </c>
      <c r="D54" s="34">
        <f t="shared" si="0"/>
        <v>3681749.5500000007</v>
      </c>
      <c r="E54" s="34">
        <v>321777.92999999993</v>
      </c>
      <c r="F54" s="35">
        <v>223</v>
      </c>
      <c r="G54" s="34">
        <f t="shared" si="3"/>
        <v>206.13576553491347</v>
      </c>
    </row>
    <row r="55" spans="1:7" ht="12.75">
      <c r="A55" s="42">
        <f t="shared" si="1"/>
        <v>44219</v>
      </c>
      <c r="B55" s="34">
        <v>4137408.47</v>
      </c>
      <c r="C55" s="34">
        <v>53818.34</v>
      </c>
      <c r="D55" s="34">
        <f t="shared" si="0"/>
        <v>3830593.8600000003</v>
      </c>
      <c r="E55" s="34">
        <v>252996.27000000002</v>
      </c>
      <c r="F55" s="35">
        <v>223</v>
      </c>
      <c r="G55" s="34">
        <f t="shared" si="3"/>
        <v>162.07320307495198</v>
      </c>
    </row>
    <row r="56" spans="1:7" ht="12.75">
      <c r="A56" s="42">
        <f t="shared" si="1"/>
        <v>44226</v>
      </c>
      <c r="B56" s="34">
        <v>4116113</v>
      </c>
      <c r="C56" s="34">
        <v>31963.399999999994</v>
      </c>
      <c r="D56" s="34">
        <f t="shared" si="0"/>
        <v>3782057.1</v>
      </c>
      <c r="E56" s="34">
        <v>302092.5</v>
      </c>
      <c r="F56" s="35">
        <v>223</v>
      </c>
      <c r="G56" s="34">
        <f t="shared" si="3"/>
        <v>193.52498398462527</v>
      </c>
    </row>
    <row r="57" spans="1:7" ht="12.75">
      <c r="A57" s="42">
        <f t="shared" si="1"/>
        <v>44233</v>
      </c>
      <c r="B57" s="34">
        <v>4434575.2</v>
      </c>
      <c r="C57" s="34">
        <v>54089.06</v>
      </c>
      <c r="D57" s="34">
        <f t="shared" si="0"/>
        <v>4091242.170000001</v>
      </c>
      <c r="E57" s="34">
        <v>289243.96999999986</v>
      </c>
      <c r="F57" s="35">
        <v>223</v>
      </c>
      <c r="G57" s="34">
        <f t="shared" si="3"/>
        <v>185.29402306213956</v>
      </c>
    </row>
    <row r="58" spans="1:7" ht="12.75">
      <c r="A58" s="42">
        <f t="shared" si="1"/>
        <v>44240</v>
      </c>
      <c r="B58" s="34">
        <v>4780010.04</v>
      </c>
      <c r="C58" s="34">
        <v>56411.99</v>
      </c>
      <c r="D58" s="34">
        <f t="shared" si="0"/>
        <v>4329562.82</v>
      </c>
      <c r="E58" s="34">
        <v>394035.23</v>
      </c>
      <c r="F58" s="35">
        <v>223</v>
      </c>
      <c r="G58" s="34">
        <f t="shared" si="3"/>
        <v>252.42487508007687</v>
      </c>
    </row>
    <row r="59" spans="1:7" ht="12.75">
      <c r="A59" s="42">
        <f t="shared" si="1"/>
        <v>44247</v>
      </c>
      <c r="B59" s="34">
        <v>5539289.8100000005</v>
      </c>
      <c r="C59" s="34">
        <v>70731.5</v>
      </c>
      <c r="D59" s="34">
        <f t="shared" si="0"/>
        <v>5087827.5200000005</v>
      </c>
      <c r="E59" s="34">
        <v>380730.79000000004</v>
      </c>
      <c r="F59" s="35">
        <v>223</v>
      </c>
      <c r="G59" s="34">
        <f t="shared" si="3"/>
        <v>243.90185137732223</v>
      </c>
    </row>
    <row r="60" spans="1:7" ht="12.75">
      <c r="A60" s="42">
        <f t="shared" si="1"/>
        <v>44254</v>
      </c>
      <c r="B60" s="34">
        <v>5853466.61</v>
      </c>
      <c r="C60" s="34">
        <v>48015.09</v>
      </c>
      <c r="D60" s="34">
        <f t="shared" si="0"/>
        <v>5394206.4</v>
      </c>
      <c r="E60" s="34">
        <v>411245.12000000017</v>
      </c>
      <c r="F60" s="35">
        <v>223</v>
      </c>
      <c r="G60" s="34">
        <f t="shared" si="3"/>
        <v>263.44978859705327</v>
      </c>
    </row>
    <row r="61" spans="1:7" ht="12.75">
      <c r="A61" s="42">
        <f t="shared" si="1"/>
        <v>44261</v>
      </c>
      <c r="B61" s="34">
        <v>6032996.1000000015</v>
      </c>
      <c r="C61" s="34">
        <v>67518.45</v>
      </c>
      <c r="D61" s="34">
        <f t="shared" si="0"/>
        <v>5575050.64</v>
      </c>
      <c r="E61" s="34">
        <v>390427.0100000015</v>
      </c>
      <c r="F61" s="35">
        <v>223</v>
      </c>
      <c r="G61" s="34">
        <f t="shared" si="3"/>
        <v>250.11339525945004</v>
      </c>
    </row>
    <row r="62" spans="1:7" ht="12.75">
      <c r="A62" s="42">
        <f t="shared" si="1"/>
        <v>44268</v>
      </c>
      <c r="B62" s="34">
        <v>6252882</v>
      </c>
      <c r="C62" s="34">
        <v>70499.3</v>
      </c>
      <c r="D62" s="34">
        <f t="shared" si="0"/>
        <v>5698900.32</v>
      </c>
      <c r="E62" s="34">
        <v>483482.3799999999</v>
      </c>
      <c r="F62" s="35">
        <v>223</v>
      </c>
      <c r="G62" s="34">
        <f t="shared" si="3"/>
        <v>309.726060217809</v>
      </c>
    </row>
    <row r="63" spans="1:7" ht="12.75">
      <c r="A63" s="42">
        <f t="shared" si="1"/>
        <v>44275</v>
      </c>
      <c r="B63" s="34">
        <v>7926570.59</v>
      </c>
      <c r="C63" s="34">
        <v>89661.59000000001</v>
      </c>
      <c r="D63" s="34">
        <f t="shared" si="0"/>
        <v>7261122.14</v>
      </c>
      <c r="E63" s="34">
        <v>575786.86</v>
      </c>
      <c r="F63" s="35">
        <v>223</v>
      </c>
      <c r="G63" s="34">
        <f>IF(ISBLANK(B63),"",E63/F63/7)</f>
        <v>368.85769378603453</v>
      </c>
    </row>
    <row r="64" spans="1:7" ht="12.75">
      <c r="A64" s="42">
        <f t="shared" si="1"/>
        <v>44282</v>
      </c>
      <c r="B64" s="34">
        <v>6163259.529999999</v>
      </c>
      <c r="C64" s="34">
        <v>67737.51000000001</v>
      </c>
      <c r="D64" s="34">
        <f>IF(ISBLANK(B64),"",B64-C64-E64)</f>
        <v>5644130.6</v>
      </c>
      <c r="E64" s="34">
        <v>451391.4200000001</v>
      </c>
      <c r="F64" s="35">
        <v>223</v>
      </c>
      <c r="G64" s="34">
        <f>IF(ISBLANK(B64),"",E64/F64/7)</f>
        <v>289.1681101857784</v>
      </c>
    </row>
    <row r="65" ht="12.75">
      <c r="A65" s="42"/>
    </row>
    <row r="66" spans="1:7" ht="13.5" thickBot="1">
      <c r="A66" s="36" t="s">
        <v>8</v>
      </c>
      <c r="B66" s="40">
        <f>SUM(B12:B65)</f>
        <v>133926915.9</v>
      </c>
      <c r="C66" s="40">
        <f>SUM(C12:C65)</f>
        <v>1443287.27</v>
      </c>
      <c r="D66" s="40">
        <f>SUM(D12:D65)</f>
        <v>122635245.87999998</v>
      </c>
      <c r="E66" s="40">
        <f>SUM(E12:E65)</f>
        <v>9848382.749999998</v>
      </c>
      <c r="F66" s="41">
        <f>_xlfn.IFERROR(SUM(F36:F65)/COUNT(F36:F65)," ")</f>
        <v>216.55172413793105</v>
      </c>
      <c r="G66" s="40">
        <f>E66/F66/199</f>
        <v>228.53367134238064</v>
      </c>
    </row>
    <row r="67" spans="1:5" s="37" customFormat="1" ht="13.5" thickTop="1">
      <c r="A67" s="39"/>
      <c r="B67" s="38"/>
      <c r="C67" s="38"/>
      <c r="D67" s="38"/>
      <c r="E67" s="38"/>
    </row>
  </sheetData>
  <sheetProtection/>
  <mergeCells count="6">
    <mergeCell ref="A1:G1"/>
    <mergeCell ref="A2:G2"/>
    <mergeCell ref="A3:G3"/>
    <mergeCell ref="A4:G4"/>
    <mergeCell ref="A5:G5"/>
    <mergeCell ref="A7:G7"/>
  </mergeCells>
  <hyperlinks>
    <hyperlink ref="A4" r:id="rId1" display="www.vernondowns.com"/>
  </hyperlinks>
  <printOptions horizontalCentered="1"/>
  <pageMargins left="0" right="0" top="0.5" bottom="0.5" header="0.5" footer="0.5"/>
  <pageSetup fitToHeight="1" fitToWidth="1" horizontalDpi="600" verticalDpi="600" orientation="portrait" scale="85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PageLayoutView="0" workbookViewId="0" topLeftCell="A1">
      <pane ySplit="10" topLeftCell="A47" activePane="bottomLeft" state="frozen"/>
      <selection pane="topLeft" activeCell="A1" sqref="A1"/>
      <selection pane="bottomLeft" activeCell="G65" sqref="G65"/>
    </sheetView>
  </sheetViews>
  <sheetFormatPr defaultColWidth="9.140625" defaultRowHeight="12.75"/>
  <cols>
    <col min="1" max="1" width="15.7109375" style="36" customWidth="1"/>
    <col min="2" max="5" width="15.7109375" style="34" customWidth="1"/>
    <col min="6" max="6" width="15.7109375" style="35" customWidth="1"/>
    <col min="7" max="7" width="15.7109375" style="34" customWidth="1"/>
    <col min="8" max="16384" width="9.140625" style="33" customWidth="1"/>
  </cols>
  <sheetData>
    <row r="1" spans="1:11" ht="18">
      <c r="A1" s="61" t="s">
        <v>19</v>
      </c>
      <c r="B1" s="61"/>
      <c r="C1" s="61"/>
      <c r="D1" s="61"/>
      <c r="E1" s="61"/>
      <c r="F1" s="61"/>
      <c r="G1" s="61"/>
      <c r="H1" s="58"/>
      <c r="I1" s="58"/>
      <c r="J1" s="58"/>
      <c r="K1" s="58"/>
    </row>
    <row r="2" spans="1:11" ht="15">
      <c r="A2" s="62" t="s">
        <v>15</v>
      </c>
      <c r="B2" s="62"/>
      <c r="C2" s="62"/>
      <c r="D2" s="62"/>
      <c r="E2" s="62"/>
      <c r="F2" s="62"/>
      <c r="G2" s="62"/>
      <c r="H2" s="57"/>
      <c r="I2" s="57"/>
      <c r="J2" s="57"/>
      <c r="K2" s="57"/>
    </row>
    <row r="3" spans="1:11" s="50" customFormat="1" ht="15">
      <c r="A3" s="62" t="s">
        <v>16</v>
      </c>
      <c r="B3" s="62"/>
      <c r="C3" s="62"/>
      <c r="D3" s="62"/>
      <c r="E3" s="62"/>
      <c r="F3" s="62"/>
      <c r="G3" s="62"/>
      <c r="H3" s="57"/>
      <c r="I3" s="57"/>
      <c r="J3" s="57"/>
      <c r="K3" s="57"/>
    </row>
    <row r="4" spans="1:11" s="50" customFormat="1" ht="14.25" customHeight="1">
      <c r="A4" s="63" t="s">
        <v>17</v>
      </c>
      <c r="B4" s="63"/>
      <c r="C4" s="63"/>
      <c r="D4" s="63"/>
      <c r="E4" s="63"/>
      <c r="F4" s="63"/>
      <c r="G4" s="63"/>
      <c r="H4" s="27"/>
      <c r="I4" s="27"/>
      <c r="J4" s="27"/>
      <c r="K4" s="27"/>
    </row>
    <row r="5" spans="1:11" s="50" customFormat="1" ht="14.25">
      <c r="A5" s="64" t="s">
        <v>18</v>
      </c>
      <c r="B5" s="64"/>
      <c r="C5" s="64"/>
      <c r="D5" s="64"/>
      <c r="E5" s="64"/>
      <c r="F5" s="64"/>
      <c r="G5" s="64"/>
      <c r="H5" s="56"/>
      <c r="I5" s="56"/>
      <c r="J5" s="56"/>
      <c r="K5" s="56"/>
    </row>
    <row r="6" spans="1:11" s="50" customFormat="1" ht="21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7" s="54" customFormat="1" ht="14.25" customHeight="1">
      <c r="A7" s="65" t="s">
        <v>31</v>
      </c>
      <c r="B7" s="66"/>
      <c r="C7" s="66"/>
      <c r="D7" s="66"/>
      <c r="E7" s="66"/>
      <c r="F7" s="66"/>
      <c r="G7" s="67"/>
    </row>
    <row r="8" spans="1:7" s="50" customFormat="1" ht="9" customHeight="1">
      <c r="A8" s="36"/>
      <c r="B8" s="53"/>
      <c r="C8" s="53"/>
      <c r="D8" s="53"/>
      <c r="E8" s="51"/>
      <c r="F8" s="52"/>
      <c r="G8" s="51"/>
    </row>
    <row r="9" spans="1:7" s="43" customFormat="1" ht="12">
      <c r="A9" s="49"/>
      <c r="B9" s="47" t="s">
        <v>0</v>
      </c>
      <c r="C9" s="47" t="s">
        <v>22</v>
      </c>
      <c r="D9" s="47" t="s">
        <v>0</v>
      </c>
      <c r="E9" s="47"/>
      <c r="F9" s="48" t="s">
        <v>1</v>
      </c>
      <c r="G9" s="47" t="s">
        <v>2</v>
      </c>
    </row>
    <row r="10" spans="1:7" s="43" customFormat="1" ht="12">
      <c r="A10" s="46" t="s">
        <v>11</v>
      </c>
      <c r="B10" s="44" t="s">
        <v>3</v>
      </c>
      <c r="C10" s="44" t="s">
        <v>24</v>
      </c>
      <c r="D10" s="44" t="s">
        <v>4</v>
      </c>
      <c r="E10" s="44" t="s">
        <v>5</v>
      </c>
      <c r="F10" s="45" t="s">
        <v>6</v>
      </c>
      <c r="G10" s="44" t="s">
        <v>7</v>
      </c>
    </row>
    <row r="12" spans="1:7" ht="12.75">
      <c r="A12" s="22">
        <v>43554</v>
      </c>
      <c r="B12" s="34">
        <v>9174820</v>
      </c>
      <c r="C12" s="34">
        <v>111675</v>
      </c>
      <c r="D12" s="34">
        <f aca="true" t="shared" si="0" ref="D12:D63">IF(ISBLANK(B12),"",B12-C12-E12)</f>
        <v>8442471</v>
      </c>
      <c r="E12" s="34">
        <v>620674</v>
      </c>
      <c r="F12" s="35">
        <f aca="true" t="shared" si="1" ref="F12:F18">3584/7</f>
        <v>512</v>
      </c>
      <c r="G12" s="34">
        <f>IF(ISBLANK(B12),"",E12/F12/7)</f>
        <v>173.17912946428572</v>
      </c>
    </row>
    <row r="13" spans="1:7" ht="12.75">
      <c r="A13" s="42">
        <f aca="true" t="shared" si="2" ref="A13:A63">+A12+7</f>
        <v>43561</v>
      </c>
      <c r="B13" s="34">
        <v>7877479.77</v>
      </c>
      <c r="C13" s="34">
        <v>100098.3</v>
      </c>
      <c r="D13" s="34">
        <f t="shared" si="0"/>
        <v>7207641.22</v>
      </c>
      <c r="E13" s="34">
        <v>569740.25</v>
      </c>
      <c r="F13" s="35">
        <f t="shared" si="1"/>
        <v>512</v>
      </c>
      <c r="G13" s="34">
        <f aca="true" t="shared" si="3" ref="G13:G62">IF(ISBLANK(B13),"",E13/F13/7)</f>
        <v>158.96770368303572</v>
      </c>
    </row>
    <row r="14" spans="1:7" ht="12.75">
      <c r="A14" s="42">
        <f t="shared" si="2"/>
        <v>43568</v>
      </c>
      <c r="B14" s="34">
        <v>8574988.55</v>
      </c>
      <c r="C14" s="34">
        <f>105119.08-14385</f>
        <v>90734.08</v>
      </c>
      <c r="D14" s="34">
        <f t="shared" si="0"/>
        <v>7852750.32</v>
      </c>
      <c r="E14" s="34">
        <v>631504.15</v>
      </c>
      <c r="F14" s="35">
        <f t="shared" si="1"/>
        <v>512</v>
      </c>
      <c r="G14" s="34">
        <f t="shared" si="3"/>
        <v>176.20093470982144</v>
      </c>
    </row>
    <row r="15" spans="1:7" ht="12.75">
      <c r="A15" s="42">
        <f t="shared" si="2"/>
        <v>43575</v>
      </c>
      <c r="B15" s="34">
        <v>8240163</v>
      </c>
      <c r="C15" s="34">
        <f>109578-336993</f>
        <v>-227415</v>
      </c>
      <c r="D15" s="34">
        <f t="shared" si="0"/>
        <v>7561460</v>
      </c>
      <c r="E15" s="34">
        <v>906118</v>
      </c>
      <c r="F15" s="35">
        <f t="shared" si="1"/>
        <v>512</v>
      </c>
      <c r="G15" s="34">
        <f t="shared" si="3"/>
        <v>252.82310267857142</v>
      </c>
    </row>
    <row r="16" spans="1:7" ht="12.75">
      <c r="A16" s="42">
        <f t="shared" si="2"/>
        <v>43582</v>
      </c>
      <c r="B16" s="34">
        <v>8512548.43</v>
      </c>
      <c r="C16" s="34">
        <f>104568.62-336993</f>
        <v>-232424.38</v>
      </c>
      <c r="D16" s="34">
        <f t="shared" si="0"/>
        <v>7823854</v>
      </c>
      <c r="E16" s="34">
        <v>921118.81</v>
      </c>
      <c r="F16" s="35">
        <f t="shared" si="1"/>
        <v>512</v>
      </c>
      <c r="G16" s="34">
        <f t="shared" si="3"/>
        <v>257.0085965401786</v>
      </c>
    </row>
    <row r="17" spans="1:7" ht="12.75">
      <c r="A17" s="42">
        <f t="shared" si="2"/>
        <v>43589</v>
      </c>
      <c r="B17" s="34">
        <v>9363595.2</v>
      </c>
      <c r="C17" s="34">
        <v>115133.04</v>
      </c>
      <c r="D17" s="34">
        <f t="shared" si="0"/>
        <v>8567737.36</v>
      </c>
      <c r="E17" s="34">
        <v>680724.8</v>
      </c>
      <c r="F17" s="35">
        <f t="shared" si="1"/>
        <v>512</v>
      </c>
      <c r="G17" s="34">
        <f t="shared" si="3"/>
        <v>189.93437500000002</v>
      </c>
    </row>
    <row r="18" spans="1:7" ht="12.75">
      <c r="A18" s="42">
        <f t="shared" si="2"/>
        <v>43596</v>
      </c>
      <c r="B18" s="34">
        <v>8263548.970000001</v>
      </c>
      <c r="C18" s="34">
        <v>90704.5</v>
      </c>
      <c r="D18" s="34">
        <f t="shared" si="0"/>
        <v>7564897.580000001</v>
      </c>
      <c r="E18" s="34">
        <v>607946.8899999997</v>
      </c>
      <c r="F18" s="35">
        <f t="shared" si="1"/>
        <v>512</v>
      </c>
      <c r="G18" s="34">
        <f t="shared" si="3"/>
        <v>169.6280385044642</v>
      </c>
    </row>
    <row r="19" spans="1:7" ht="12.75">
      <c r="A19" s="42">
        <f t="shared" si="2"/>
        <v>43603</v>
      </c>
      <c r="B19" s="34">
        <v>8696545.83</v>
      </c>
      <c r="C19" s="34">
        <v>111772.75</v>
      </c>
      <c r="D19" s="34">
        <f t="shared" si="0"/>
        <v>8020622.19</v>
      </c>
      <c r="E19" s="34">
        <v>564150.89</v>
      </c>
      <c r="F19" s="35">
        <f aca="true" t="shared" si="4" ref="F19:F24">3584/7</f>
        <v>512</v>
      </c>
      <c r="G19" s="34">
        <f t="shared" si="3"/>
        <v>157.40817243303573</v>
      </c>
    </row>
    <row r="20" spans="1:7" ht="12.75">
      <c r="A20" s="42">
        <f t="shared" si="2"/>
        <v>43610</v>
      </c>
      <c r="B20" s="34">
        <v>8332212</v>
      </c>
      <c r="C20" s="34">
        <v>103537</v>
      </c>
      <c r="D20" s="34">
        <f t="shared" si="0"/>
        <v>7686319</v>
      </c>
      <c r="E20" s="34">
        <v>542356</v>
      </c>
      <c r="F20" s="35">
        <f t="shared" si="4"/>
        <v>512</v>
      </c>
      <c r="G20" s="34">
        <f t="shared" si="3"/>
        <v>151.32700892857142</v>
      </c>
    </row>
    <row r="21" spans="1:7" ht="12.75">
      <c r="A21" s="42">
        <f t="shared" si="2"/>
        <v>43617</v>
      </c>
      <c r="B21" s="34">
        <v>9298251.8</v>
      </c>
      <c r="C21" s="34">
        <v>120061.5</v>
      </c>
      <c r="D21" s="34">
        <f t="shared" si="0"/>
        <v>8566354.65</v>
      </c>
      <c r="E21" s="34">
        <v>611835.65</v>
      </c>
      <c r="F21" s="35">
        <f t="shared" si="4"/>
        <v>512</v>
      </c>
      <c r="G21" s="34">
        <f t="shared" si="3"/>
        <v>170.71307198660716</v>
      </c>
    </row>
    <row r="22" spans="1:7" ht="12.75">
      <c r="A22" s="42">
        <f t="shared" si="2"/>
        <v>43624</v>
      </c>
      <c r="B22" s="34">
        <v>8096841.23</v>
      </c>
      <c r="C22" s="34">
        <f>104299.65-17510</f>
        <v>86789.65</v>
      </c>
      <c r="D22" s="34">
        <f t="shared" si="0"/>
        <v>7397939.21</v>
      </c>
      <c r="E22" s="34">
        <v>612112.37</v>
      </c>
      <c r="F22" s="35">
        <f t="shared" si="4"/>
        <v>512</v>
      </c>
      <c r="G22" s="34">
        <f t="shared" si="3"/>
        <v>170.7902818080357</v>
      </c>
    </row>
    <row r="23" spans="1:7" ht="12.75">
      <c r="A23" s="42">
        <f t="shared" si="2"/>
        <v>43631</v>
      </c>
      <c r="B23" s="34">
        <v>8265227.14</v>
      </c>
      <c r="C23" s="34">
        <v>109400.85</v>
      </c>
      <c r="D23" s="34">
        <f t="shared" si="0"/>
        <v>7593635.04</v>
      </c>
      <c r="E23" s="34">
        <v>562191.25</v>
      </c>
      <c r="F23" s="35">
        <f t="shared" si="4"/>
        <v>512</v>
      </c>
      <c r="G23" s="34">
        <f t="shared" si="3"/>
        <v>156.86139787946428</v>
      </c>
    </row>
    <row r="24" spans="1:7" ht="12.75">
      <c r="A24" s="42">
        <f t="shared" si="2"/>
        <v>43638</v>
      </c>
      <c r="B24" s="34">
        <v>7854285.27</v>
      </c>
      <c r="C24" s="34">
        <v>116646.35</v>
      </c>
      <c r="D24" s="34">
        <f t="shared" si="0"/>
        <v>7184740.609999999</v>
      </c>
      <c r="E24" s="34">
        <v>552898.31</v>
      </c>
      <c r="F24" s="35">
        <f t="shared" si="4"/>
        <v>512</v>
      </c>
      <c r="G24" s="34">
        <f t="shared" si="3"/>
        <v>154.26850167410717</v>
      </c>
    </row>
    <row r="25" spans="1:7" ht="12.75">
      <c r="A25" s="42">
        <f t="shared" si="2"/>
        <v>43645</v>
      </c>
      <c r="B25" s="34">
        <v>8449736.85</v>
      </c>
      <c r="C25" s="34">
        <v>114637.51</v>
      </c>
      <c r="D25" s="34">
        <f t="shared" si="0"/>
        <v>7658427.279999999</v>
      </c>
      <c r="E25" s="34">
        <v>676672.06</v>
      </c>
      <c r="F25" s="35">
        <f>3584/7</f>
        <v>512</v>
      </c>
      <c r="G25" s="34">
        <f t="shared" si="3"/>
        <v>188.80358816964286</v>
      </c>
    </row>
    <row r="26" spans="1:7" ht="12.75">
      <c r="A26" s="42">
        <f t="shared" si="2"/>
        <v>43652</v>
      </c>
      <c r="B26" s="34">
        <v>9152121.22</v>
      </c>
      <c r="C26" s="34">
        <v>142696.73</v>
      </c>
      <c r="D26" s="34">
        <f t="shared" si="0"/>
        <v>8379992</v>
      </c>
      <c r="E26" s="34">
        <v>629432.49</v>
      </c>
      <c r="F26" s="35">
        <f>3584/7</f>
        <v>512</v>
      </c>
      <c r="G26" s="34">
        <f t="shared" si="3"/>
        <v>175.62290457589285</v>
      </c>
    </row>
    <row r="27" spans="1:7" ht="12.75">
      <c r="A27" s="42">
        <f t="shared" si="2"/>
        <v>43659</v>
      </c>
      <c r="B27" s="34">
        <v>7488013.08</v>
      </c>
      <c r="C27" s="34">
        <f>105844.7-19160</f>
        <v>86684.7</v>
      </c>
      <c r="D27" s="34">
        <f t="shared" si="0"/>
        <v>6841516.66</v>
      </c>
      <c r="E27" s="34">
        <v>559811.72</v>
      </c>
      <c r="F27" s="35">
        <f>3584/7</f>
        <v>512</v>
      </c>
      <c r="G27" s="34">
        <f t="shared" si="3"/>
        <v>156.19746651785712</v>
      </c>
    </row>
    <row r="28" spans="1:7" ht="12.75">
      <c r="A28" s="42">
        <f t="shared" si="2"/>
        <v>43666</v>
      </c>
      <c r="B28" s="34">
        <v>7698457.18</v>
      </c>
      <c r="C28" s="34">
        <v>115753.31</v>
      </c>
      <c r="D28" s="34">
        <f t="shared" si="0"/>
        <v>7092552.8100000005</v>
      </c>
      <c r="E28" s="34">
        <v>490151.06</v>
      </c>
      <c r="F28" s="35">
        <v>512</v>
      </c>
      <c r="G28" s="34">
        <f t="shared" si="3"/>
        <v>136.7608984375</v>
      </c>
    </row>
    <row r="29" spans="1:7" ht="12.75">
      <c r="A29" s="42">
        <f t="shared" si="2"/>
        <v>43673</v>
      </c>
      <c r="B29" s="34">
        <v>8794994.85</v>
      </c>
      <c r="C29" s="34">
        <v>118771.67</v>
      </c>
      <c r="D29" s="34">
        <f t="shared" si="0"/>
        <v>8101960.84</v>
      </c>
      <c r="E29" s="34">
        <v>574262.34</v>
      </c>
      <c r="F29" s="35">
        <v>512</v>
      </c>
      <c r="G29" s="34">
        <f t="shared" si="3"/>
        <v>160.22944754464285</v>
      </c>
    </row>
    <row r="30" spans="1:7" ht="12.75">
      <c r="A30" s="42">
        <f t="shared" si="2"/>
        <v>43680</v>
      </c>
      <c r="B30" s="34">
        <v>9001402.89</v>
      </c>
      <c r="C30" s="34">
        <v>137981.66</v>
      </c>
      <c r="D30" s="34">
        <f t="shared" si="0"/>
        <v>8233487.2</v>
      </c>
      <c r="E30" s="34">
        <v>629934.03</v>
      </c>
      <c r="F30" s="35">
        <f aca="true" t="shared" si="5" ref="F30:F55">3584/7</f>
        <v>512</v>
      </c>
      <c r="G30" s="34">
        <f t="shared" si="3"/>
        <v>175.7628431919643</v>
      </c>
    </row>
    <row r="31" spans="1:7" ht="12.75">
      <c r="A31" s="42">
        <f t="shared" si="2"/>
        <v>43687</v>
      </c>
      <c r="B31" s="34">
        <v>7539401.87</v>
      </c>
      <c r="C31" s="34">
        <v>112074.61</v>
      </c>
      <c r="D31" s="34">
        <f t="shared" si="0"/>
        <v>6912604.75</v>
      </c>
      <c r="E31" s="34">
        <v>514722.51</v>
      </c>
      <c r="F31" s="35">
        <f t="shared" si="5"/>
        <v>512</v>
      </c>
      <c r="G31" s="34">
        <f t="shared" si="3"/>
        <v>143.61677176339285</v>
      </c>
    </row>
    <row r="32" spans="1:7" ht="12.75">
      <c r="A32" s="42">
        <f t="shared" si="2"/>
        <v>43694</v>
      </c>
      <c r="B32" s="34">
        <v>7930703.670000001</v>
      </c>
      <c r="C32" s="34">
        <v>98404.3</v>
      </c>
      <c r="D32" s="34">
        <f t="shared" si="0"/>
        <v>7308812.930000002</v>
      </c>
      <c r="E32" s="34">
        <v>523486.43999999977</v>
      </c>
      <c r="F32" s="35">
        <f t="shared" si="5"/>
        <v>512</v>
      </c>
      <c r="G32" s="34">
        <f t="shared" si="3"/>
        <v>146.0620647321428</v>
      </c>
    </row>
    <row r="33" spans="1:7" ht="12.75">
      <c r="A33" s="42">
        <f t="shared" si="2"/>
        <v>43701</v>
      </c>
      <c r="B33" s="34">
        <v>8757127.45</v>
      </c>
      <c r="C33" s="34">
        <v>136196.9</v>
      </c>
      <c r="D33" s="34">
        <f t="shared" si="0"/>
        <v>8028016.409999999</v>
      </c>
      <c r="E33" s="34">
        <v>592914.1399999999</v>
      </c>
      <c r="F33" s="35">
        <f t="shared" si="5"/>
        <v>512</v>
      </c>
      <c r="G33" s="34">
        <f t="shared" si="3"/>
        <v>165.43363281249998</v>
      </c>
    </row>
    <row r="34" spans="1:7" ht="12.75">
      <c r="A34" s="42">
        <f t="shared" si="2"/>
        <v>43708</v>
      </c>
      <c r="B34" s="34">
        <v>8679797.44</v>
      </c>
      <c r="C34" s="34">
        <v>122220.6</v>
      </c>
      <c r="D34" s="34">
        <f t="shared" si="0"/>
        <v>7982672.96</v>
      </c>
      <c r="E34" s="34">
        <v>574903.8799999999</v>
      </c>
      <c r="F34" s="35">
        <f t="shared" si="5"/>
        <v>512</v>
      </c>
      <c r="G34" s="34">
        <f t="shared" si="3"/>
        <v>160.40844866071424</v>
      </c>
    </row>
    <row r="35" spans="1:7" ht="12.75">
      <c r="A35" s="42">
        <f t="shared" si="2"/>
        <v>43715</v>
      </c>
      <c r="B35" s="34">
        <v>9689190.15</v>
      </c>
      <c r="C35" s="34">
        <v>125942.85</v>
      </c>
      <c r="D35" s="34">
        <f t="shared" si="0"/>
        <v>8920375.510000002</v>
      </c>
      <c r="E35" s="34">
        <v>642871.79</v>
      </c>
      <c r="F35" s="35">
        <f t="shared" si="5"/>
        <v>512</v>
      </c>
      <c r="G35" s="34">
        <f t="shared" si="3"/>
        <v>179.37270926339286</v>
      </c>
    </row>
    <row r="36" spans="1:7" ht="12.75">
      <c r="A36" s="42">
        <f t="shared" si="2"/>
        <v>43722</v>
      </c>
      <c r="B36" s="34">
        <v>8059234.4399999995</v>
      </c>
      <c r="C36" s="34">
        <v>113097.06</v>
      </c>
      <c r="D36" s="34">
        <f t="shared" si="0"/>
        <v>7364894.42</v>
      </c>
      <c r="E36" s="34">
        <v>581242.9599999995</v>
      </c>
      <c r="F36" s="35">
        <f t="shared" si="5"/>
        <v>512</v>
      </c>
      <c r="G36" s="34">
        <f t="shared" si="3"/>
        <v>162.1771651785713</v>
      </c>
    </row>
    <row r="37" spans="1:7" ht="12.75">
      <c r="A37" s="42">
        <f t="shared" si="2"/>
        <v>43729</v>
      </c>
      <c r="B37" s="34">
        <v>8617416.3</v>
      </c>
      <c r="C37" s="34">
        <v>144269.9</v>
      </c>
      <c r="D37" s="34">
        <f t="shared" si="0"/>
        <v>7898713.420000001</v>
      </c>
      <c r="E37" s="34">
        <v>574432.9799999996</v>
      </c>
      <c r="F37" s="35">
        <f t="shared" si="5"/>
        <v>512</v>
      </c>
      <c r="G37" s="34">
        <f t="shared" si="3"/>
        <v>160.2770591517856</v>
      </c>
    </row>
    <row r="38" spans="1:7" ht="12.75">
      <c r="A38" s="42">
        <f t="shared" si="2"/>
        <v>43736</v>
      </c>
      <c r="B38" s="34">
        <v>8333934.93</v>
      </c>
      <c r="C38" s="34">
        <v>132263.25</v>
      </c>
      <c r="D38" s="34">
        <f t="shared" si="0"/>
        <v>7689960.5</v>
      </c>
      <c r="E38" s="34">
        <v>511711.17999999993</v>
      </c>
      <c r="F38" s="35">
        <f t="shared" si="5"/>
        <v>512</v>
      </c>
      <c r="G38" s="34">
        <f t="shared" si="3"/>
        <v>142.77655691964284</v>
      </c>
    </row>
    <row r="39" spans="1:7" ht="12.75">
      <c r="A39" s="42">
        <f t="shared" si="2"/>
        <v>43743</v>
      </c>
      <c r="B39" s="34">
        <v>8475731.37</v>
      </c>
      <c r="C39" s="34">
        <v>134402.01</v>
      </c>
      <c r="D39" s="34">
        <f t="shared" si="0"/>
        <v>7799303.620000001</v>
      </c>
      <c r="E39" s="34">
        <v>542025.7399999984</v>
      </c>
      <c r="F39" s="35">
        <f t="shared" si="5"/>
        <v>512</v>
      </c>
      <c r="G39" s="34">
        <f t="shared" si="3"/>
        <v>151.23486049107098</v>
      </c>
    </row>
    <row r="40" spans="1:7" ht="12.75">
      <c r="A40" s="42">
        <f t="shared" si="2"/>
        <v>43750</v>
      </c>
      <c r="B40" s="34">
        <v>8177943.92</v>
      </c>
      <c r="C40" s="34">
        <v>114769.3</v>
      </c>
      <c r="D40" s="34">
        <f t="shared" si="0"/>
        <v>7493293.22</v>
      </c>
      <c r="E40" s="34">
        <v>569881.4</v>
      </c>
      <c r="F40" s="35">
        <f t="shared" si="5"/>
        <v>512</v>
      </c>
      <c r="G40" s="34">
        <f t="shared" si="3"/>
        <v>159.00708705357144</v>
      </c>
    </row>
    <row r="41" spans="1:7" ht="12.75">
      <c r="A41" s="42">
        <f t="shared" si="2"/>
        <v>43757</v>
      </c>
      <c r="B41" s="34">
        <v>8721589.52</v>
      </c>
      <c r="C41" s="34">
        <v>114624.5</v>
      </c>
      <c r="D41" s="34">
        <f t="shared" si="0"/>
        <v>7964901.26</v>
      </c>
      <c r="E41" s="34">
        <v>642063.7599999994</v>
      </c>
      <c r="F41" s="35">
        <f t="shared" si="5"/>
        <v>512</v>
      </c>
      <c r="G41" s="34">
        <f t="shared" si="3"/>
        <v>179.14725446428557</v>
      </c>
    </row>
    <row r="42" spans="1:7" ht="12.75">
      <c r="A42" s="42">
        <f t="shared" si="2"/>
        <v>43764</v>
      </c>
      <c r="B42" s="34">
        <v>8628724.58</v>
      </c>
      <c r="C42" s="34">
        <v>148372.11</v>
      </c>
      <c r="D42" s="34">
        <f t="shared" si="0"/>
        <v>7893968.72</v>
      </c>
      <c r="E42" s="34">
        <v>586383.7500000013</v>
      </c>
      <c r="F42" s="35">
        <f t="shared" si="5"/>
        <v>512</v>
      </c>
      <c r="G42" s="34">
        <f t="shared" si="3"/>
        <v>163.6115373883932</v>
      </c>
    </row>
    <row r="43" spans="1:7" ht="12.75">
      <c r="A43" s="42">
        <f t="shared" si="2"/>
        <v>43771</v>
      </c>
      <c r="B43" s="34">
        <v>8585444.36</v>
      </c>
      <c r="C43" s="34">
        <v>149172.95</v>
      </c>
      <c r="D43" s="34">
        <f t="shared" si="0"/>
        <v>7857178.33</v>
      </c>
      <c r="E43" s="34">
        <v>579093.0800000005</v>
      </c>
      <c r="F43" s="35">
        <f t="shared" si="5"/>
        <v>512</v>
      </c>
      <c r="G43" s="34">
        <f t="shared" si="3"/>
        <v>161.57731026785729</v>
      </c>
    </row>
    <row r="44" spans="1:7" ht="12.75">
      <c r="A44" s="42">
        <f t="shared" si="2"/>
        <v>43778</v>
      </c>
      <c r="B44" s="34">
        <v>7430496.91</v>
      </c>
      <c r="C44" s="34">
        <v>99842.55</v>
      </c>
      <c r="D44" s="34">
        <f t="shared" si="0"/>
        <v>6860408.510000001</v>
      </c>
      <c r="E44" s="34">
        <v>470245.85</v>
      </c>
      <c r="F44" s="35">
        <f t="shared" si="5"/>
        <v>512</v>
      </c>
      <c r="G44" s="34">
        <f t="shared" si="3"/>
        <v>131.20698939732142</v>
      </c>
    </row>
    <row r="45" spans="1:7" ht="12.75">
      <c r="A45" s="42">
        <f t="shared" si="2"/>
        <v>43785</v>
      </c>
      <c r="B45" s="34">
        <v>7141529.66</v>
      </c>
      <c r="C45" s="34">
        <v>79943.47</v>
      </c>
      <c r="D45" s="34">
        <f t="shared" si="0"/>
        <v>6545185.36</v>
      </c>
      <c r="E45" s="34">
        <v>516400.8300000005</v>
      </c>
      <c r="F45" s="35">
        <f t="shared" si="5"/>
        <v>512</v>
      </c>
      <c r="G45" s="34">
        <f t="shared" si="3"/>
        <v>144.08505301339298</v>
      </c>
    </row>
    <row r="46" spans="1:7" ht="12.75">
      <c r="A46" s="42">
        <f t="shared" si="2"/>
        <v>43792</v>
      </c>
      <c r="B46" s="34">
        <v>8361170.540000001</v>
      </c>
      <c r="C46" s="34">
        <v>131298.32</v>
      </c>
      <c r="D46" s="34">
        <f t="shared" si="0"/>
        <v>7715784.139999999</v>
      </c>
      <c r="E46" s="34">
        <v>514088.080000002</v>
      </c>
      <c r="F46" s="35">
        <f t="shared" si="5"/>
        <v>512</v>
      </c>
      <c r="G46" s="34">
        <f t="shared" si="3"/>
        <v>143.43975446428627</v>
      </c>
    </row>
    <row r="47" spans="1:7" ht="12.75">
      <c r="A47" s="42">
        <f t="shared" si="2"/>
        <v>43799</v>
      </c>
      <c r="B47" s="34">
        <v>7386522.05</v>
      </c>
      <c r="C47" s="34">
        <v>98010.06</v>
      </c>
      <c r="D47" s="34">
        <f t="shared" si="0"/>
        <v>6741268.220000001</v>
      </c>
      <c r="E47" s="34">
        <v>547243.77</v>
      </c>
      <c r="F47" s="35">
        <f t="shared" si="5"/>
        <v>512</v>
      </c>
      <c r="G47" s="34">
        <f>IF(ISBLANK(B47),"",E47/F47/7)</f>
        <v>152.69078404017858</v>
      </c>
    </row>
    <row r="48" spans="1:7" ht="12.75">
      <c r="A48" s="42">
        <f t="shared" si="2"/>
        <v>43806</v>
      </c>
      <c r="B48" s="34">
        <v>5009694.66</v>
      </c>
      <c r="C48" s="34">
        <v>76176.75</v>
      </c>
      <c r="D48" s="34">
        <f t="shared" si="0"/>
        <v>4598129.8</v>
      </c>
      <c r="E48" s="34">
        <v>335388.11</v>
      </c>
      <c r="F48" s="35">
        <f t="shared" si="5"/>
        <v>512</v>
      </c>
      <c r="G48" s="34">
        <f>IF(ISBLANK(B48),"",E48/F48/7)</f>
        <v>93.57927176339285</v>
      </c>
    </row>
    <row r="49" spans="1:7" ht="12.75">
      <c r="A49" s="42">
        <f t="shared" si="2"/>
        <v>43813</v>
      </c>
      <c r="B49" s="34">
        <v>7364105.23</v>
      </c>
      <c r="C49" s="34">
        <v>80477.3</v>
      </c>
      <c r="D49" s="34">
        <f t="shared" si="0"/>
        <v>6816327.11</v>
      </c>
      <c r="E49" s="34">
        <v>467300.82</v>
      </c>
      <c r="F49" s="35">
        <f t="shared" si="5"/>
        <v>512</v>
      </c>
      <c r="G49" s="34">
        <f t="shared" si="3"/>
        <v>130.3852734375</v>
      </c>
    </row>
    <row r="50" spans="1:7" ht="12.75">
      <c r="A50" s="42">
        <f t="shared" si="2"/>
        <v>43820</v>
      </c>
      <c r="B50" s="34">
        <v>5561474.56</v>
      </c>
      <c r="C50" s="34">
        <v>85757.95000000001</v>
      </c>
      <c r="D50" s="34">
        <f t="shared" si="0"/>
        <v>5086473.02</v>
      </c>
      <c r="E50" s="34">
        <v>389243.58999999956</v>
      </c>
      <c r="F50" s="35">
        <f t="shared" si="5"/>
        <v>512</v>
      </c>
      <c r="G50" s="34">
        <f t="shared" si="3"/>
        <v>108.60591238839274</v>
      </c>
    </row>
    <row r="51" spans="1:7" ht="12.75">
      <c r="A51" s="42">
        <f t="shared" si="2"/>
        <v>43827</v>
      </c>
      <c r="B51" s="34">
        <v>7467983.579999998</v>
      </c>
      <c r="C51" s="34">
        <v>112375.09999999999</v>
      </c>
      <c r="D51" s="34">
        <f t="shared" si="0"/>
        <v>6891970.070000001</v>
      </c>
      <c r="E51" s="34">
        <v>463638.4099999972</v>
      </c>
      <c r="F51" s="35">
        <f t="shared" si="5"/>
        <v>512</v>
      </c>
      <c r="G51" s="34">
        <f t="shared" si="3"/>
        <v>129.36339564732063</v>
      </c>
    </row>
    <row r="52" spans="1:7" ht="12.75">
      <c r="A52" s="42">
        <f t="shared" si="2"/>
        <v>43834</v>
      </c>
      <c r="B52" s="34">
        <v>9685621.4</v>
      </c>
      <c r="C52" s="34">
        <v>128588.70000000001</v>
      </c>
      <c r="D52" s="34">
        <f t="shared" si="0"/>
        <v>8894510.870000003</v>
      </c>
      <c r="E52" s="34">
        <v>662521.8299999989</v>
      </c>
      <c r="F52" s="35">
        <f t="shared" si="5"/>
        <v>512</v>
      </c>
      <c r="G52" s="34">
        <f t="shared" si="3"/>
        <v>184.85542131696397</v>
      </c>
    </row>
    <row r="53" spans="1:7" ht="12.75">
      <c r="A53" s="42">
        <f t="shared" si="2"/>
        <v>43841</v>
      </c>
      <c r="B53" s="34">
        <v>6762427.74</v>
      </c>
      <c r="C53" s="34">
        <v>76779.05</v>
      </c>
      <c r="D53" s="34">
        <f t="shared" si="0"/>
        <v>6228311.640000001</v>
      </c>
      <c r="E53" s="34">
        <v>457337.0500000003</v>
      </c>
      <c r="F53" s="35">
        <f t="shared" si="5"/>
        <v>512</v>
      </c>
      <c r="G53" s="34">
        <f t="shared" si="3"/>
        <v>127.6052036830358</v>
      </c>
    </row>
    <row r="54" spans="1:7" ht="12.75">
      <c r="A54" s="42">
        <f t="shared" si="2"/>
        <v>43848</v>
      </c>
      <c r="B54" s="34">
        <v>6590182.3</v>
      </c>
      <c r="C54" s="34">
        <v>86779.79000000001</v>
      </c>
      <c r="D54" s="34">
        <f t="shared" si="0"/>
        <v>6047661.460000001</v>
      </c>
      <c r="E54" s="34">
        <v>455741.0499999992</v>
      </c>
      <c r="F54" s="35">
        <f t="shared" si="5"/>
        <v>512</v>
      </c>
      <c r="G54" s="34">
        <f t="shared" si="3"/>
        <v>127.15989118303548</v>
      </c>
    </row>
    <row r="55" spans="1:7" ht="12.75">
      <c r="A55" s="42">
        <f t="shared" si="2"/>
        <v>43855</v>
      </c>
      <c r="B55" s="34">
        <v>7351172.970000001</v>
      </c>
      <c r="C55" s="34">
        <v>109614.09999999999</v>
      </c>
      <c r="D55" s="34">
        <f t="shared" si="0"/>
        <v>6721096.220000001</v>
      </c>
      <c r="E55" s="34">
        <v>520462.6500000005</v>
      </c>
      <c r="F55" s="35">
        <f t="shared" si="5"/>
        <v>512</v>
      </c>
      <c r="G55" s="34">
        <f t="shared" si="3"/>
        <v>145.218373325893</v>
      </c>
    </row>
    <row r="56" spans="1:7" ht="12.75">
      <c r="A56" s="42">
        <f t="shared" si="2"/>
        <v>43862</v>
      </c>
      <c r="B56" s="34">
        <v>8059831.14</v>
      </c>
      <c r="C56" s="34">
        <v>114222.2</v>
      </c>
      <c r="D56" s="34">
        <f t="shared" si="0"/>
        <v>7362857.149999999</v>
      </c>
      <c r="E56" s="34">
        <v>582751.79</v>
      </c>
      <c r="F56" s="35">
        <f aca="true" t="shared" si="6" ref="F56:F62">3584/7</f>
        <v>512</v>
      </c>
      <c r="G56" s="34">
        <f t="shared" si="3"/>
        <v>162.5981556919643</v>
      </c>
    </row>
    <row r="57" spans="1:7" ht="12.75">
      <c r="A57" s="42">
        <f t="shared" si="2"/>
        <v>43869</v>
      </c>
      <c r="B57" s="34">
        <v>6058291.76</v>
      </c>
      <c r="C57" s="34">
        <v>41888.56</v>
      </c>
      <c r="D57" s="34">
        <f t="shared" si="0"/>
        <v>5564105.720000001</v>
      </c>
      <c r="E57" s="34">
        <v>452297.4799999996</v>
      </c>
      <c r="F57" s="35">
        <f t="shared" si="6"/>
        <v>512</v>
      </c>
      <c r="G57" s="34">
        <f t="shared" si="3"/>
        <v>126.19907366071416</v>
      </c>
    </row>
    <row r="58" spans="1:7" ht="12.75">
      <c r="A58" s="42">
        <f t="shared" si="2"/>
        <v>43876</v>
      </c>
      <c r="B58" s="34">
        <v>7894314.0600000005</v>
      </c>
      <c r="C58" s="34">
        <v>115024.19</v>
      </c>
      <c r="D58" s="34">
        <f t="shared" si="0"/>
        <v>7204371.21</v>
      </c>
      <c r="E58" s="34">
        <v>574918.6600000001</v>
      </c>
      <c r="F58" s="35">
        <f t="shared" si="6"/>
        <v>512</v>
      </c>
      <c r="G58" s="34">
        <f t="shared" si="3"/>
        <v>160.4125725446429</v>
      </c>
    </row>
    <row r="59" spans="1:7" ht="12.75">
      <c r="A59" s="42">
        <f t="shared" si="2"/>
        <v>43883</v>
      </c>
      <c r="B59" s="34">
        <v>8437286.08</v>
      </c>
      <c r="C59" s="34">
        <v>114449.11999999998</v>
      </c>
      <c r="D59" s="34">
        <f t="shared" si="0"/>
        <v>7718428.490000001</v>
      </c>
      <c r="E59" s="34">
        <v>604408.469999999</v>
      </c>
      <c r="F59" s="35">
        <f t="shared" si="6"/>
        <v>512</v>
      </c>
      <c r="G59" s="34">
        <f t="shared" si="3"/>
        <v>168.6407561383926</v>
      </c>
    </row>
    <row r="60" spans="1:7" ht="12.75">
      <c r="A60" s="42">
        <f t="shared" si="2"/>
        <v>43890</v>
      </c>
      <c r="B60" s="34">
        <v>8284744.659999999</v>
      </c>
      <c r="C60" s="34">
        <v>97746.65000000001</v>
      </c>
      <c r="D60" s="34">
        <f t="shared" si="0"/>
        <v>7648877.639999999</v>
      </c>
      <c r="E60" s="34">
        <v>538120.3699999999</v>
      </c>
      <c r="F60" s="35">
        <f t="shared" si="6"/>
        <v>512</v>
      </c>
      <c r="G60" s="34">
        <f t="shared" si="3"/>
        <v>150.1451925223214</v>
      </c>
    </row>
    <row r="61" spans="1:7" ht="12.75">
      <c r="A61" s="42">
        <f t="shared" si="2"/>
        <v>43897</v>
      </c>
      <c r="B61" s="34">
        <v>8095046.81</v>
      </c>
      <c r="C61" s="34">
        <v>107643.65</v>
      </c>
      <c r="D61" s="34">
        <f t="shared" si="0"/>
        <v>7412872.78</v>
      </c>
      <c r="E61" s="34">
        <v>574530.379999999</v>
      </c>
      <c r="F61" s="35">
        <f t="shared" si="6"/>
        <v>512</v>
      </c>
      <c r="G61" s="34">
        <f t="shared" si="3"/>
        <v>160.30423549107113</v>
      </c>
    </row>
    <row r="62" spans="1:7" ht="12.75">
      <c r="A62" s="42">
        <f t="shared" si="2"/>
        <v>43904</v>
      </c>
      <c r="B62" s="34">
        <v>6836459.41</v>
      </c>
      <c r="C62" s="34">
        <v>74145.04999999999</v>
      </c>
      <c r="D62" s="34">
        <f t="shared" si="0"/>
        <v>6265256.32</v>
      </c>
      <c r="E62" s="34">
        <v>497058.0400000003</v>
      </c>
      <c r="F62" s="35">
        <f t="shared" si="6"/>
        <v>512</v>
      </c>
      <c r="G62" s="34">
        <f t="shared" si="3"/>
        <v>138.68806919642867</v>
      </c>
    </row>
    <row r="63" spans="1:7" ht="12.75">
      <c r="A63" s="42">
        <f t="shared" si="2"/>
        <v>43911</v>
      </c>
      <c r="B63" s="34">
        <v>1154541.43</v>
      </c>
      <c r="C63" s="34">
        <v>25046.4</v>
      </c>
      <c r="D63" s="34">
        <f t="shared" si="0"/>
        <v>1070786.68</v>
      </c>
      <c r="E63" s="34">
        <v>58708.35</v>
      </c>
      <c r="F63" s="35">
        <f>1024/2</f>
        <v>512</v>
      </c>
      <c r="G63" s="34">
        <f>IF(ISBLANK(B63),"",E63/F63/2)</f>
        <v>57.332373046875</v>
      </c>
    </row>
    <row r="64" ht="12.75">
      <c r="A64" s="42"/>
    </row>
    <row r="65" spans="1:7" ht="13.5" thickBot="1">
      <c r="A65" s="36" t="s">
        <v>8</v>
      </c>
      <c r="B65" s="40">
        <f>SUM(B12:B64)</f>
        <v>412264370.21000016</v>
      </c>
      <c r="C65" s="40">
        <f>SUM(C12:C64)</f>
        <v>4914858.520000001</v>
      </c>
      <c r="D65" s="40">
        <f>SUM(D12:D64)</f>
        <v>378287737.42999995</v>
      </c>
      <c r="E65" s="40">
        <f>SUM(E12:E64)</f>
        <v>29061774.259999998</v>
      </c>
      <c r="F65" s="41">
        <f>_xlfn.IFERROR(SUM(F12:F64)/COUNT(F12:F64)," ")</f>
        <v>512</v>
      </c>
      <c r="G65" s="40">
        <f>_xlfn.IFERROR((E65/SUM(F12:F64)/7)," ")</f>
        <v>155.93757651528156</v>
      </c>
    </row>
    <row r="66" spans="1:5" s="37" customFormat="1" ht="13.5" thickTop="1">
      <c r="A66" s="39"/>
      <c r="B66" s="38"/>
      <c r="C66" s="38"/>
      <c r="D66" s="38"/>
      <c r="E66" s="38"/>
    </row>
  </sheetData>
  <sheetProtection/>
  <mergeCells count="6">
    <mergeCell ref="A1:G1"/>
    <mergeCell ref="A2:G2"/>
    <mergeCell ref="A3:G3"/>
    <mergeCell ref="A4:G4"/>
    <mergeCell ref="A5:G5"/>
    <mergeCell ref="A7:G7"/>
  </mergeCells>
  <hyperlinks>
    <hyperlink ref="A4" r:id="rId1" display="www.vernondowns.com"/>
  </hyperlinks>
  <printOptions horizontalCentered="1"/>
  <pageMargins left="0" right="0" top="0.5" bottom="0.5" header="0.5" footer="0.5"/>
  <pageSetup fitToHeight="1" fitToWidth="1" horizontalDpi="600" verticalDpi="600" orientation="portrait" scale="87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PageLayoutView="0" workbookViewId="0" topLeftCell="A1">
      <pane ySplit="10" topLeftCell="A53" activePane="bottomLeft" state="frozen"/>
      <selection pane="topLeft" activeCell="A1" sqref="A1"/>
      <selection pane="bottomLeft" activeCell="G65" sqref="G65"/>
    </sheetView>
  </sheetViews>
  <sheetFormatPr defaultColWidth="9.140625" defaultRowHeight="12.75"/>
  <cols>
    <col min="1" max="1" width="15.7109375" style="36" customWidth="1"/>
    <col min="2" max="5" width="15.7109375" style="34" customWidth="1"/>
    <col min="6" max="6" width="15.7109375" style="35" customWidth="1"/>
    <col min="7" max="7" width="15.7109375" style="34" customWidth="1"/>
    <col min="8" max="16384" width="9.140625" style="33" customWidth="1"/>
  </cols>
  <sheetData>
    <row r="1" spans="1:11" ht="18">
      <c r="A1" s="61" t="s">
        <v>19</v>
      </c>
      <c r="B1" s="61"/>
      <c r="C1" s="61"/>
      <c r="D1" s="61"/>
      <c r="E1" s="61"/>
      <c r="F1" s="61"/>
      <c r="G1" s="61"/>
      <c r="H1" s="58"/>
      <c r="I1" s="58"/>
      <c r="J1" s="58"/>
      <c r="K1" s="58"/>
    </row>
    <row r="2" spans="1:11" ht="15">
      <c r="A2" s="62" t="s">
        <v>15</v>
      </c>
      <c r="B2" s="62"/>
      <c r="C2" s="62"/>
      <c r="D2" s="62"/>
      <c r="E2" s="62"/>
      <c r="F2" s="62"/>
      <c r="G2" s="62"/>
      <c r="H2" s="57"/>
      <c r="I2" s="57"/>
      <c r="J2" s="57"/>
      <c r="K2" s="57"/>
    </row>
    <row r="3" spans="1:11" s="50" customFormat="1" ht="15">
      <c r="A3" s="62" t="s">
        <v>16</v>
      </c>
      <c r="B3" s="62"/>
      <c r="C3" s="62"/>
      <c r="D3" s="62"/>
      <c r="E3" s="62"/>
      <c r="F3" s="62"/>
      <c r="G3" s="62"/>
      <c r="H3" s="57"/>
      <c r="I3" s="57"/>
      <c r="J3" s="57"/>
      <c r="K3" s="57"/>
    </row>
    <row r="4" spans="1:11" s="50" customFormat="1" ht="14.25" customHeight="1">
      <c r="A4" s="63" t="s">
        <v>17</v>
      </c>
      <c r="B4" s="63"/>
      <c r="C4" s="63"/>
      <c r="D4" s="63"/>
      <c r="E4" s="63"/>
      <c r="F4" s="63"/>
      <c r="G4" s="63"/>
      <c r="H4" s="27"/>
      <c r="I4" s="27"/>
      <c r="J4" s="27"/>
      <c r="K4" s="27"/>
    </row>
    <row r="5" spans="1:11" s="50" customFormat="1" ht="14.25">
      <c r="A5" s="64" t="s">
        <v>18</v>
      </c>
      <c r="B5" s="64"/>
      <c r="C5" s="64"/>
      <c r="D5" s="64"/>
      <c r="E5" s="64"/>
      <c r="F5" s="64"/>
      <c r="G5" s="64"/>
      <c r="H5" s="56"/>
      <c r="I5" s="56"/>
      <c r="J5" s="56"/>
      <c r="K5" s="56"/>
    </row>
    <row r="6" spans="1:11" s="50" customFormat="1" ht="21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7" s="54" customFormat="1" ht="14.25" customHeight="1">
      <c r="A7" s="65" t="s">
        <v>30</v>
      </c>
      <c r="B7" s="66"/>
      <c r="C7" s="66"/>
      <c r="D7" s="66"/>
      <c r="E7" s="66"/>
      <c r="F7" s="66"/>
      <c r="G7" s="67"/>
    </row>
    <row r="8" spans="1:7" s="50" customFormat="1" ht="9" customHeight="1">
      <c r="A8" s="36"/>
      <c r="B8" s="53"/>
      <c r="C8" s="53"/>
      <c r="D8" s="53"/>
      <c r="E8" s="51"/>
      <c r="F8" s="52"/>
      <c r="G8" s="51"/>
    </row>
    <row r="9" spans="1:7" s="43" customFormat="1" ht="12">
      <c r="A9" s="49"/>
      <c r="B9" s="47" t="s">
        <v>0</v>
      </c>
      <c r="C9" s="47" t="s">
        <v>22</v>
      </c>
      <c r="D9" s="47" t="s">
        <v>0</v>
      </c>
      <c r="E9" s="47"/>
      <c r="F9" s="48" t="s">
        <v>1</v>
      </c>
      <c r="G9" s="47" t="s">
        <v>2</v>
      </c>
    </row>
    <row r="10" spans="1:7" s="43" customFormat="1" ht="12">
      <c r="A10" s="46" t="s">
        <v>11</v>
      </c>
      <c r="B10" s="44" t="s">
        <v>3</v>
      </c>
      <c r="C10" s="44" t="s">
        <v>24</v>
      </c>
      <c r="D10" s="44" t="s">
        <v>4</v>
      </c>
      <c r="E10" s="44" t="s">
        <v>5</v>
      </c>
      <c r="F10" s="45" t="s">
        <v>6</v>
      </c>
      <c r="G10" s="44" t="s">
        <v>7</v>
      </c>
    </row>
    <row r="12" spans="1:7" ht="12.75">
      <c r="A12" s="22">
        <v>43190</v>
      </c>
      <c r="B12" s="34">
        <v>8114450</v>
      </c>
      <c r="C12" s="34">
        <v>98018</v>
      </c>
      <c r="D12" s="34">
        <f aca="true" t="shared" si="0" ref="D12:D63">IF(ISBLANK(B12),"",B12-C12-E12)</f>
        <v>7434943</v>
      </c>
      <c r="E12" s="34">
        <v>581489</v>
      </c>
      <c r="F12" s="35">
        <v>767</v>
      </c>
      <c r="G12" s="34">
        <v>108</v>
      </c>
    </row>
    <row r="13" spans="1:7" ht="12.75">
      <c r="A13" s="42">
        <f aca="true" t="shared" si="1" ref="A13:A44">+A12+7</f>
        <v>43197</v>
      </c>
      <c r="B13" s="34">
        <v>7990704</v>
      </c>
      <c r="C13" s="34">
        <f>101472-21855</f>
        <v>79617</v>
      </c>
      <c r="D13" s="34">
        <f t="shared" si="0"/>
        <v>7346443</v>
      </c>
      <c r="E13" s="34">
        <v>564644</v>
      </c>
      <c r="F13" s="35">
        <f aca="true" t="shared" si="2" ref="F13:F18">5369/7</f>
        <v>767</v>
      </c>
      <c r="G13" s="34">
        <v>105</v>
      </c>
    </row>
    <row r="14" spans="1:7" ht="12.75">
      <c r="A14" s="42">
        <f t="shared" si="1"/>
        <v>43204</v>
      </c>
      <c r="B14" s="34">
        <v>8171200</v>
      </c>
      <c r="C14" s="34">
        <v>97601</v>
      </c>
      <c r="D14" s="34">
        <f t="shared" si="0"/>
        <v>7506300</v>
      </c>
      <c r="E14" s="34">
        <v>567299</v>
      </c>
      <c r="F14" s="35">
        <f t="shared" si="2"/>
        <v>767</v>
      </c>
      <c r="G14" s="34">
        <v>106</v>
      </c>
    </row>
    <row r="15" spans="1:7" ht="12.75">
      <c r="A15" s="42">
        <f t="shared" si="1"/>
        <v>43211</v>
      </c>
      <c r="B15" s="34">
        <v>8435552</v>
      </c>
      <c r="C15" s="34">
        <v>123070</v>
      </c>
      <c r="D15" s="34">
        <f t="shared" si="0"/>
        <v>7702952</v>
      </c>
      <c r="E15" s="34">
        <v>609530</v>
      </c>
      <c r="F15" s="35">
        <f t="shared" si="2"/>
        <v>767</v>
      </c>
      <c r="G15" s="34">
        <v>114</v>
      </c>
    </row>
    <row r="16" spans="1:7" ht="12.75">
      <c r="A16" s="42">
        <f t="shared" si="1"/>
        <v>43218</v>
      </c>
      <c r="B16" s="34">
        <v>8755158</v>
      </c>
      <c r="C16" s="34">
        <v>114065</v>
      </c>
      <c r="D16" s="34">
        <f t="shared" si="0"/>
        <v>8068609</v>
      </c>
      <c r="E16" s="34">
        <v>572484</v>
      </c>
      <c r="F16" s="35">
        <f t="shared" si="2"/>
        <v>767</v>
      </c>
      <c r="G16" s="34">
        <v>107</v>
      </c>
    </row>
    <row r="17" spans="1:7" ht="12.75">
      <c r="A17" s="42">
        <f t="shared" si="1"/>
        <v>43225</v>
      </c>
      <c r="B17" s="34">
        <v>8448041</v>
      </c>
      <c r="C17" s="34">
        <f>105833-241915</f>
        <v>-136082</v>
      </c>
      <c r="D17" s="34">
        <f t="shared" si="0"/>
        <v>7737125</v>
      </c>
      <c r="E17" s="34">
        <v>846998</v>
      </c>
      <c r="F17" s="35">
        <f t="shared" si="2"/>
        <v>767</v>
      </c>
      <c r="G17" s="34">
        <v>158</v>
      </c>
    </row>
    <row r="18" spans="1:7" ht="12.75">
      <c r="A18" s="42">
        <f t="shared" si="1"/>
        <v>43232</v>
      </c>
      <c r="B18" s="34">
        <v>7851422</v>
      </c>
      <c r="C18" s="34">
        <f>101479-220566</f>
        <v>-119087</v>
      </c>
      <c r="D18" s="34">
        <f t="shared" si="0"/>
        <v>7188872</v>
      </c>
      <c r="E18" s="34">
        <v>781637</v>
      </c>
      <c r="F18" s="35">
        <f t="shared" si="2"/>
        <v>767</v>
      </c>
      <c r="G18" s="34">
        <v>146</v>
      </c>
    </row>
    <row r="19" spans="1:7" ht="12.75">
      <c r="A19" s="42">
        <f t="shared" si="1"/>
        <v>43239</v>
      </c>
      <c r="B19" s="34">
        <v>8042371</v>
      </c>
      <c r="C19" s="34">
        <v>99326</v>
      </c>
      <c r="D19" s="34">
        <f t="shared" si="0"/>
        <v>7348104</v>
      </c>
      <c r="E19" s="34">
        <v>594941</v>
      </c>
      <c r="F19" s="35">
        <f aca="true" t="shared" si="3" ref="F19:F24">5369/7</f>
        <v>767</v>
      </c>
      <c r="G19" s="34">
        <v>111</v>
      </c>
    </row>
    <row r="20" spans="1:7" ht="12.75">
      <c r="A20" s="42">
        <f t="shared" si="1"/>
        <v>43246</v>
      </c>
      <c r="B20" s="34">
        <v>7985955</v>
      </c>
      <c r="C20" s="34">
        <f>107470-23165</f>
        <v>84305</v>
      </c>
      <c r="D20" s="34">
        <f t="shared" si="0"/>
        <v>7355837</v>
      </c>
      <c r="E20" s="34">
        <v>545813</v>
      </c>
      <c r="F20" s="35">
        <f t="shared" si="3"/>
        <v>767</v>
      </c>
      <c r="G20" s="34">
        <v>102</v>
      </c>
    </row>
    <row r="21" spans="1:7" ht="12.75">
      <c r="A21" s="42">
        <f t="shared" si="1"/>
        <v>43253</v>
      </c>
      <c r="B21" s="34">
        <v>9373212</v>
      </c>
      <c r="C21" s="34">
        <v>140574</v>
      </c>
      <c r="D21" s="34">
        <f t="shared" si="0"/>
        <v>8535817</v>
      </c>
      <c r="E21" s="34">
        <v>696821</v>
      </c>
      <c r="F21" s="35">
        <f t="shared" si="3"/>
        <v>767</v>
      </c>
      <c r="G21" s="34">
        <v>130</v>
      </c>
    </row>
    <row r="22" spans="1:7" ht="12.75">
      <c r="A22" s="42">
        <f t="shared" si="1"/>
        <v>43260</v>
      </c>
      <c r="B22" s="34">
        <v>7888311</v>
      </c>
      <c r="C22" s="34">
        <v>116279</v>
      </c>
      <c r="D22" s="34">
        <f t="shared" si="0"/>
        <v>7221712</v>
      </c>
      <c r="E22" s="34">
        <v>550320</v>
      </c>
      <c r="F22" s="35">
        <f t="shared" si="3"/>
        <v>767</v>
      </c>
      <c r="G22" s="34">
        <v>102</v>
      </c>
    </row>
    <row r="23" spans="1:7" ht="12.75">
      <c r="A23" s="42">
        <f t="shared" si="1"/>
        <v>43267</v>
      </c>
      <c r="B23" s="34">
        <v>8248032</v>
      </c>
      <c r="C23" s="34">
        <v>127279</v>
      </c>
      <c r="D23" s="34">
        <f t="shared" si="0"/>
        <v>7525925</v>
      </c>
      <c r="E23" s="34">
        <v>594828</v>
      </c>
      <c r="F23" s="35">
        <f t="shared" si="3"/>
        <v>767</v>
      </c>
      <c r="G23" s="34">
        <f>_xlfn.IFERROR((E23/F23/7)," ")</f>
        <v>110.78934624697335</v>
      </c>
    </row>
    <row r="24" spans="1:7" ht="12.75">
      <c r="A24" s="42">
        <f t="shared" si="1"/>
        <v>43274</v>
      </c>
      <c r="B24" s="34">
        <v>8406259</v>
      </c>
      <c r="C24" s="34">
        <v>134279</v>
      </c>
      <c r="D24" s="34">
        <f t="shared" si="0"/>
        <v>7729507</v>
      </c>
      <c r="E24" s="34">
        <v>542473</v>
      </c>
      <c r="F24" s="35">
        <f t="shared" si="3"/>
        <v>767</v>
      </c>
      <c r="G24" s="34">
        <f aca="true" t="shared" si="4" ref="G24:G63">_xlfn.IFERROR((E24/F24/7)," ")</f>
        <v>101.03799590240268</v>
      </c>
    </row>
    <row r="25" spans="1:7" ht="12.75">
      <c r="A25" s="42">
        <f t="shared" si="1"/>
        <v>43281</v>
      </c>
      <c r="B25" s="34">
        <v>8194042</v>
      </c>
      <c r="C25" s="34">
        <v>120451</v>
      </c>
      <c r="D25" s="34">
        <f t="shared" si="0"/>
        <v>7492339</v>
      </c>
      <c r="E25" s="34">
        <v>581252</v>
      </c>
      <c r="F25" s="35">
        <f>5369/7</f>
        <v>767</v>
      </c>
      <c r="G25" s="34">
        <f t="shared" si="4"/>
        <v>108.26075619295958</v>
      </c>
    </row>
    <row r="26" spans="1:7" ht="12.75">
      <c r="A26" s="42">
        <f t="shared" si="1"/>
        <v>43288</v>
      </c>
      <c r="B26" s="34">
        <v>10568004</v>
      </c>
      <c r="C26" s="34">
        <v>172803</v>
      </c>
      <c r="D26" s="34">
        <f t="shared" si="0"/>
        <v>9643158</v>
      </c>
      <c r="E26" s="34">
        <v>752043</v>
      </c>
      <c r="F26" s="35">
        <f>5369/7</f>
        <v>767</v>
      </c>
      <c r="G26" s="34">
        <f t="shared" si="4"/>
        <v>140.0713354442168</v>
      </c>
    </row>
    <row r="27" spans="1:7" ht="12.75">
      <c r="A27" s="42">
        <f t="shared" si="1"/>
        <v>43295</v>
      </c>
      <c r="B27" s="34">
        <v>7915698</v>
      </c>
      <c r="C27" s="34">
        <f>120294-24420</f>
        <v>95874</v>
      </c>
      <c r="D27" s="34">
        <f t="shared" si="0"/>
        <v>7377758</v>
      </c>
      <c r="E27" s="34">
        <v>442066</v>
      </c>
      <c r="F27" s="35">
        <f>4339/7</f>
        <v>619.8571428571429</v>
      </c>
      <c r="G27" s="34">
        <f t="shared" si="4"/>
        <v>101.8820004609357</v>
      </c>
    </row>
    <row r="28" spans="1:7" ht="12.75">
      <c r="A28" s="42">
        <f t="shared" si="1"/>
        <v>43302</v>
      </c>
      <c r="B28" s="34">
        <v>8611983</v>
      </c>
      <c r="C28" s="34">
        <v>134727</v>
      </c>
      <c r="D28" s="34">
        <f t="shared" si="0"/>
        <v>7891720</v>
      </c>
      <c r="E28" s="34">
        <v>585536</v>
      </c>
      <c r="F28" s="35">
        <f>3950/7</f>
        <v>564.2857142857143</v>
      </c>
      <c r="G28" s="34">
        <f t="shared" si="4"/>
        <v>148.23696202531644</v>
      </c>
    </row>
    <row r="29" spans="1:7" ht="12.75">
      <c r="A29" s="42">
        <f t="shared" si="1"/>
        <v>43309</v>
      </c>
      <c r="B29" s="34">
        <v>8204970</v>
      </c>
      <c r="C29" s="34">
        <f>127474-21620</f>
        <v>105854</v>
      </c>
      <c r="D29" s="34">
        <f t="shared" si="0"/>
        <v>7540369</v>
      </c>
      <c r="E29" s="34">
        <v>558747</v>
      </c>
      <c r="F29" s="35">
        <f>3513/7</f>
        <v>501.85714285714283</v>
      </c>
      <c r="G29" s="34">
        <f t="shared" si="4"/>
        <v>159.05123825789926</v>
      </c>
    </row>
    <row r="30" spans="1:7" ht="12.75">
      <c r="A30" s="42">
        <f t="shared" si="1"/>
        <v>43316</v>
      </c>
      <c r="B30" s="34">
        <v>8633807</v>
      </c>
      <c r="C30" s="34">
        <v>136377</v>
      </c>
      <c r="D30" s="34">
        <f t="shared" si="0"/>
        <v>7937761</v>
      </c>
      <c r="E30" s="34">
        <v>559669</v>
      </c>
      <c r="F30" s="35">
        <f>3331/7</f>
        <v>475.85714285714283</v>
      </c>
      <c r="G30" s="34">
        <f t="shared" si="4"/>
        <v>168.0183128189733</v>
      </c>
    </row>
    <row r="31" spans="1:7" ht="12.75">
      <c r="A31" s="42">
        <f t="shared" si="1"/>
        <v>43323</v>
      </c>
      <c r="B31" s="34">
        <v>8675560</v>
      </c>
      <c r="C31" s="34">
        <v>132188</v>
      </c>
      <c r="D31" s="34">
        <f t="shared" si="0"/>
        <v>7932025</v>
      </c>
      <c r="E31" s="34">
        <v>611347</v>
      </c>
      <c r="F31" s="35">
        <f>3456/7</f>
        <v>493.7142857142857</v>
      </c>
      <c r="G31" s="34">
        <f t="shared" si="4"/>
        <v>176.89438657407408</v>
      </c>
    </row>
    <row r="32" spans="1:7" ht="12.75">
      <c r="A32" s="42">
        <f t="shared" si="1"/>
        <v>43330</v>
      </c>
      <c r="B32" s="34">
        <v>9044944</v>
      </c>
      <c r="C32" s="34">
        <v>133459</v>
      </c>
      <c r="D32" s="34">
        <f t="shared" si="0"/>
        <v>8334137</v>
      </c>
      <c r="E32" s="34">
        <v>577348</v>
      </c>
      <c r="F32" s="35">
        <f aca="true" t="shared" si="5" ref="F32:F38">3584/7</f>
        <v>512</v>
      </c>
      <c r="G32" s="34">
        <f t="shared" si="4"/>
        <v>161.09040178571428</v>
      </c>
    </row>
    <row r="33" spans="1:7" ht="12.75">
      <c r="A33" s="42">
        <f t="shared" si="1"/>
        <v>43337</v>
      </c>
      <c r="B33" s="34">
        <v>9162332</v>
      </c>
      <c r="C33" s="34">
        <v>133785</v>
      </c>
      <c r="D33" s="34">
        <f t="shared" si="0"/>
        <v>8414020</v>
      </c>
      <c r="E33" s="34">
        <v>614527</v>
      </c>
      <c r="F33" s="35">
        <f t="shared" si="5"/>
        <v>512</v>
      </c>
      <c r="G33" s="34">
        <f t="shared" si="4"/>
        <v>171.46400669642858</v>
      </c>
    </row>
    <row r="34" spans="1:7" ht="12.75">
      <c r="A34" s="42">
        <f t="shared" si="1"/>
        <v>43344</v>
      </c>
      <c r="B34" s="34">
        <v>8631725</v>
      </c>
      <c r="C34" s="34">
        <v>128575</v>
      </c>
      <c r="D34" s="34">
        <f t="shared" si="0"/>
        <v>7923331</v>
      </c>
      <c r="E34" s="34">
        <v>579819</v>
      </c>
      <c r="F34" s="35">
        <f t="shared" si="5"/>
        <v>512</v>
      </c>
      <c r="G34" s="34">
        <f t="shared" si="4"/>
        <v>161.77985491071428</v>
      </c>
    </row>
    <row r="35" spans="1:7" ht="12.75">
      <c r="A35" s="42">
        <f t="shared" si="1"/>
        <v>43351</v>
      </c>
      <c r="B35" s="34">
        <v>8675328</v>
      </c>
      <c r="C35" s="34">
        <f>121895-24420</f>
        <v>97475</v>
      </c>
      <c r="D35" s="34">
        <f t="shared" si="0"/>
        <v>7935044</v>
      </c>
      <c r="E35" s="34">
        <v>642809</v>
      </c>
      <c r="F35" s="35">
        <f t="shared" si="5"/>
        <v>512</v>
      </c>
      <c r="G35" s="34">
        <f t="shared" si="4"/>
        <v>179.35518973214286</v>
      </c>
    </row>
    <row r="36" spans="1:7" ht="12.75">
      <c r="A36" s="42">
        <f t="shared" si="1"/>
        <v>43358</v>
      </c>
      <c r="B36" s="34">
        <v>7342561</v>
      </c>
      <c r="C36" s="34">
        <v>107221</v>
      </c>
      <c r="D36" s="34">
        <f t="shared" si="0"/>
        <v>6688202</v>
      </c>
      <c r="E36" s="34">
        <v>547138</v>
      </c>
      <c r="F36" s="35">
        <f t="shared" si="5"/>
        <v>512</v>
      </c>
      <c r="G36" s="34">
        <f t="shared" si="4"/>
        <v>152.66127232142858</v>
      </c>
    </row>
    <row r="37" spans="1:7" ht="12.75">
      <c r="A37" s="42">
        <f t="shared" si="1"/>
        <v>43365</v>
      </c>
      <c r="B37" s="34">
        <v>7562490</v>
      </c>
      <c r="C37" s="34">
        <v>112446</v>
      </c>
      <c r="D37" s="34">
        <f t="shared" si="0"/>
        <v>6909469</v>
      </c>
      <c r="E37" s="34">
        <v>540575</v>
      </c>
      <c r="F37" s="35">
        <f t="shared" si="5"/>
        <v>512</v>
      </c>
      <c r="G37" s="34">
        <f t="shared" si="4"/>
        <v>150.830078125</v>
      </c>
    </row>
    <row r="38" spans="1:7" ht="12.75">
      <c r="A38" s="42">
        <f t="shared" si="1"/>
        <v>43372</v>
      </c>
      <c r="B38" s="34">
        <v>8459329.75</v>
      </c>
      <c r="C38" s="34">
        <v>111732.39</v>
      </c>
      <c r="D38" s="34">
        <f t="shared" si="0"/>
        <v>7802919.390000001</v>
      </c>
      <c r="E38" s="34">
        <v>544677.9699999999</v>
      </c>
      <c r="F38" s="35">
        <f t="shared" si="5"/>
        <v>512</v>
      </c>
      <c r="G38" s="34">
        <f>_xlfn.IFERROR((E38/F38/7)," ")</f>
        <v>151.9748800223214</v>
      </c>
    </row>
    <row r="39" spans="1:7" ht="12.75">
      <c r="A39" s="42">
        <f t="shared" si="1"/>
        <v>43379</v>
      </c>
      <c r="B39" s="34">
        <v>7963577</v>
      </c>
      <c r="C39" s="34">
        <v>111109</v>
      </c>
      <c r="D39" s="34">
        <f t="shared" si="0"/>
        <v>7286825</v>
      </c>
      <c r="E39" s="34">
        <v>565643</v>
      </c>
      <c r="F39" s="35">
        <f aca="true" t="shared" si="6" ref="F39:F44">3584/7</f>
        <v>512</v>
      </c>
      <c r="G39" s="34">
        <f t="shared" si="4"/>
        <v>157.82449776785714</v>
      </c>
    </row>
    <row r="40" spans="1:7" ht="12.75">
      <c r="A40" s="42">
        <f t="shared" si="1"/>
        <v>43386</v>
      </c>
      <c r="B40" s="34">
        <v>8099434</v>
      </c>
      <c r="C40" s="34">
        <f>105233-27326</f>
        <v>77907</v>
      </c>
      <c r="D40" s="34">
        <f t="shared" si="0"/>
        <v>7485131</v>
      </c>
      <c r="E40" s="34">
        <v>536396</v>
      </c>
      <c r="F40" s="35">
        <f t="shared" si="6"/>
        <v>512</v>
      </c>
      <c r="G40" s="34">
        <f t="shared" si="4"/>
        <v>149.6640625</v>
      </c>
    </row>
    <row r="41" spans="1:7" ht="12.75">
      <c r="A41" s="42">
        <f t="shared" si="1"/>
        <v>43393</v>
      </c>
      <c r="B41" s="34">
        <v>7588247</v>
      </c>
      <c r="C41" s="34">
        <v>103067</v>
      </c>
      <c r="D41" s="34">
        <f t="shared" si="0"/>
        <v>6915925</v>
      </c>
      <c r="E41" s="34">
        <v>569255</v>
      </c>
      <c r="F41" s="35">
        <f t="shared" si="6"/>
        <v>512</v>
      </c>
      <c r="G41" s="34">
        <f t="shared" si="4"/>
        <v>158.83231026785714</v>
      </c>
    </row>
    <row r="42" spans="1:7" ht="12.75">
      <c r="A42" s="42">
        <f t="shared" si="1"/>
        <v>43400</v>
      </c>
      <c r="B42" s="34">
        <v>7260990</v>
      </c>
      <c r="C42" s="34">
        <v>100188</v>
      </c>
      <c r="D42" s="34">
        <f t="shared" si="0"/>
        <v>6683809</v>
      </c>
      <c r="E42" s="34">
        <v>476993</v>
      </c>
      <c r="F42" s="35">
        <f t="shared" si="6"/>
        <v>512</v>
      </c>
      <c r="G42" s="34">
        <f t="shared" si="4"/>
        <v>133.08956473214286</v>
      </c>
    </row>
    <row r="43" spans="1:7" ht="12.75">
      <c r="A43" s="42">
        <f t="shared" si="1"/>
        <v>43407</v>
      </c>
      <c r="B43" s="34">
        <v>7868466</v>
      </c>
      <c r="C43" s="34">
        <v>99448</v>
      </c>
      <c r="D43" s="34">
        <f t="shared" si="0"/>
        <v>7268493</v>
      </c>
      <c r="E43" s="34">
        <v>500525</v>
      </c>
      <c r="F43" s="35">
        <f t="shared" si="6"/>
        <v>512</v>
      </c>
      <c r="G43" s="34">
        <f t="shared" si="4"/>
        <v>139.65541294642858</v>
      </c>
    </row>
    <row r="44" spans="1:7" ht="12.75">
      <c r="A44" s="42">
        <f t="shared" si="1"/>
        <v>43414</v>
      </c>
      <c r="B44" s="34">
        <v>6745352</v>
      </c>
      <c r="C44" s="34">
        <f>92163-19156</f>
        <v>73007</v>
      </c>
      <c r="D44" s="34">
        <f t="shared" si="0"/>
        <v>6175746</v>
      </c>
      <c r="E44" s="34">
        <v>496599</v>
      </c>
      <c r="F44" s="35">
        <f t="shared" si="6"/>
        <v>512</v>
      </c>
      <c r="G44" s="34">
        <f t="shared" si="4"/>
        <v>138.55998883928572</v>
      </c>
    </row>
    <row r="45" spans="1:7" ht="12.75">
      <c r="A45" s="42">
        <f aca="true" t="shared" si="7" ref="A45:A63">+A44+7</f>
        <v>43421</v>
      </c>
      <c r="B45" s="34">
        <v>6774558</v>
      </c>
      <c r="C45" s="34">
        <v>89330</v>
      </c>
      <c r="D45" s="34">
        <f t="shared" si="0"/>
        <v>6228761</v>
      </c>
      <c r="E45" s="34">
        <v>456467</v>
      </c>
      <c r="F45" s="35">
        <f aca="true" t="shared" si="8" ref="F45:F50">3584/7</f>
        <v>512</v>
      </c>
      <c r="G45" s="34">
        <f t="shared" si="4"/>
        <v>127.36244419642857</v>
      </c>
    </row>
    <row r="46" spans="1:7" ht="12.75">
      <c r="A46" s="42">
        <f t="shared" si="7"/>
        <v>43428</v>
      </c>
      <c r="B46" s="34">
        <v>7010949</v>
      </c>
      <c r="C46" s="34">
        <v>107672</v>
      </c>
      <c r="D46" s="34">
        <f t="shared" si="0"/>
        <v>6474115</v>
      </c>
      <c r="E46" s="34">
        <v>429162</v>
      </c>
      <c r="F46" s="35">
        <f t="shared" si="8"/>
        <v>512</v>
      </c>
      <c r="G46" s="34">
        <f t="shared" si="4"/>
        <v>119.74386160714286</v>
      </c>
    </row>
    <row r="47" spans="1:7" ht="12.75">
      <c r="A47" s="42">
        <f t="shared" si="7"/>
        <v>43435</v>
      </c>
      <c r="B47" s="34">
        <v>6067305</v>
      </c>
      <c r="C47" s="34">
        <v>88464</v>
      </c>
      <c r="D47" s="34">
        <f t="shared" si="0"/>
        <v>5557720</v>
      </c>
      <c r="E47" s="34">
        <v>421121</v>
      </c>
      <c r="F47" s="35">
        <f t="shared" si="8"/>
        <v>512</v>
      </c>
      <c r="G47" s="34">
        <f t="shared" si="4"/>
        <v>117.50027901785714</v>
      </c>
    </row>
    <row r="48" spans="1:7" ht="12.75">
      <c r="A48" s="42">
        <f t="shared" si="7"/>
        <v>43442</v>
      </c>
      <c r="B48" s="34">
        <v>6147274.5</v>
      </c>
      <c r="C48" s="34">
        <v>85665.55</v>
      </c>
      <c r="D48" s="34">
        <f t="shared" si="0"/>
        <v>5615828.24</v>
      </c>
      <c r="E48" s="34">
        <v>445780.7100000001</v>
      </c>
      <c r="F48" s="35">
        <f t="shared" si="8"/>
        <v>512</v>
      </c>
      <c r="G48" s="34">
        <f>_xlfn.IFERROR((E48/F48/7)," ")</f>
        <v>124.38077845982146</v>
      </c>
    </row>
    <row r="49" spans="1:7" ht="12.75">
      <c r="A49" s="42">
        <f t="shared" si="7"/>
        <v>43449</v>
      </c>
      <c r="B49" s="34">
        <v>6687339</v>
      </c>
      <c r="C49" s="34">
        <f>85607-17455</f>
        <v>68152</v>
      </c>
      <c r="D49" s="34">
        <f t="shared" si="0"/>
        <v>6154953</v>
      </c>
      <c r="E49" s="34">
        <v>464234</v>
      </c>
      <c r="F49" s="35">
        <f t="shared" si="8"/>
        <v>512</v>
      </c>
      <c r="G49" s="34">
        <f t="shared" si="4"/>
        <v>129.52957589285714</v>
      </c>
    </row>
    <row r="50" spans="1:7" ht="12.75">
      <c r="A50" s="42">
        <f t="shared" si="7"/>
        <v>43456</v>
      </c>
      <c r="B50" s="34">
        <v>5952826</v>
      </c>
      <c r="C50" s="34">
        <v>86165</v>
      </c>
      <c r="D50" s="34">
        <f t="shared" si="0"/>
        <v>5413086</v>
      </c>
      <c r="E50" s="34">
        <v>453575</v>
      </c>
      <c r="F50" s="35">
        <f t="shared" si="8"/>
        <v>512</v>
      </c>
      <c r="G50" s="34">
        <f t="shared" si="4"/>
        <v>126.55552455357143</v>
      </c>
    </row>
    <row r="51" spans="1:7" ht="12.75">
      <c r="A51" s="42">
        <f t="shared" si="7"/>
        <v>43463</v>
      </c>
      <c r="B51" s="34">
        <v>6618755</v>
      </c>
      <c r="C51" s="34">
        <v>83489</v>
      </c>
      <c r="D51" s="34">
        <f t="shared" si="0"/>
        <v>6104336</v>
      </c>
      <c r="E51" s="34">
        <v>430930</v>
      </c>
      <c r="F51" s="35">
        <f aca="true" t="shared" si="9" ref="F51:F56">3584/7</f>
        <v>512</v>
      </c>
      <c r="G51" s="34">
        <f t="shared" si="4"/>
        <v>120.23716517857143</v>
      </c>
    </row>
    <row r="52" spans="1:7" ht="12.75">
      <c r="A52" s="42">
        <f t="shared" si="7"/>
        <v>43470</v>
      </c>
      <c r="B52" s="34">
        <v>9337544</v>
      </c>
      <c r="C52" s="34">
        <v>125512</v>
      </c>
      <c r="D52" s="34">
        <f t="shared" si="0"/>
        <v>8595082</v>
      </c>
      <c r="E52" s="34">
        <v>616950</v>
      </c>
      <c r="F52" s="35">
        <f t="shared" si="9"/>
        <v>512</v>
      </c>
      <c r="G52" s="34">
        <f t="shared" si="4"/>
        <v>172.14006696428572</v>
      </c>
    </row>
    <row r="53" spans="1:7" ht="12.75">
      <c r="A53" s="42">
        <f t="shared" si="7"/>
        <v>43477</v>
      </c>
      <c r="B53" s="34">
        <v>5896052</v>
      </c>
      <c r="C53" s="34">
        <f>73985-14250</f>
        <v>59735</v>
      </c>
      <c r="D53" s="34">
        <f t="shared" si="0"/>
        <v>5443374</v>
      </c>
      <c r="E53" s="34">
        <v>392943</v>
      </c>
      <c r="F53" s="35">
        <f t="shared" si="9"/>
        <v>512</v>
      </c>
      <c r="G53" s="34">
        <f t="shared" si="4"/>
        <v>109.63811383928571</v>
      </c>
    </row>
    <row r="54" spans="1:7" ht="12.75">
      <c r="A54" s="42">
        <f t="shared" si="7"/>
        <v>43484</v>
      </c>
      <c r="B54" s="34">
        <v>5870689</v>
      </c>
      <c r="C54" s="34">
        <v>81193</v>
      </c>
      <c r="D54" s="34">
        <f t="shared" si="0"/>
        <v>5377970</v>
      </c>
      <c r="E54" s="34">
        <v>411526</v>
      </c>
      <c r="F54" s="35">
        <f t="shared" si="9"/>
        <v>512</v>
      </c>
      <c r="G54" s="34">
        <f t="shared" si="4"/>
        <v>114.82310267857143</v>
      </c>
    </row>
    <row r="55" spans="1:7" ht="12.75">
      <c r="A55" s="42">
        <f t="shared" si="7"/>
        <v>43491</v>
      </c>
      <c r="B55" s="34">
        <v>5130952</v>
      </c>
      <c r="C55" s="34">
        <v>69914</v>
      </c>
      <c r="D55" s="34">
        <f t="shared" si="0"/>
        <v>4681913</v>
      </c>
      <c r="E55" s="34">
        <v>379125</v>
      </c>
      <c r="F55" s="35">
        <f t="shared" si="9"/>
        <v>512</v>
      </c>
      <c r="G55" s="34">
        <f t="shared" si="4"/>
        <v>105.78264508928571</v>
      </c>
    </row>
    <row r="56" spans="1:7" ht="12.75">
      <c r="A56" s="42">
        <f t="shared" si="7"/>
        <v>43498</v>
      </c>
      <c r="B56" s="34">
        <v>6167343</v>
      </c>
      <c r="C56" s="34">
        <v>86787</v>
      </c>
      <c r="D56" s="34">
        <f t="shared" si="0"/>
        <v>5649083</v>
      </c>
      <c r="E56" s="34">
        <v>431473</v>
      </c>
      <c r="F56" s="35">
        <f t="shared" si="9"/>
        <v>512</v>
      </c>
      <c r="G56" s="34">
        <f t="shared" si="4"/>
        <v>120.388671875</v>
      </c>
    </row>
    <row r="57" spans="1:7" ht="12.75">
      <c r="A57" s="42">
        <f t="shared" si="7"/>
        <v>43505</v>
      </c>
      <c r="B57" s="34">
        <v>6502370</v>
      </c>
      <c r="C57" s="34">
        <v>81494</v>
      </c>
      <c r="D57" s="34">
        <f t="shared" si="0"/>
        <v>5927351</v>
      </c>
      <c r="E57" s="34">
        <v>493525</v>
      </c>
      <c r="F57" s="35">
        <f aca="true" t="shared" si="10" ref="F57:F62">3584/7</f>
        <v>512</v>
      </c>
      <c r="G57" s="34">
        <f t="shared" si="4"/>
        <v>137.70228794642858</v>
      </c>
    </row>
    <row r="58" spans="1:7" ht="12.75">
      <c r="A58" s="42">
        <f t="shared" si="7"/>
        <v>43512</v>
      </c>
      <c r="B58" s="34">
        <v>6966597</v>
      </c>
      <c r="C58" s="34">
        <f>93642-14990</f>
        <v>78652</v>
      </c>
      <c r="D58" s="34">
        <f t="shared" si="0"/>
        <v>6387517</v>
      </c>
      <c r="E58" s="34">
        <v>500428</v>
      </c>
      <c r="F58" s="35">
        <f t="shared" si="10"/>
        <v>512</v>
      </c>
      <c r="G58" s="34">
        <f t="shared" si="4"/>
        <v>139.62834821428572</v>
      </c>
    </row>
    <row r="59" spans="1:7" ht="12.75">
      <c r="A59" s="42">
        <f t="shared" si="7"/>
        <v>43519</v>
      </c>
      <c r="B59" s="34">
        <v>8518599</v>
      </c>
      <c r="C59" s="34">
        <v>115225</v>
      </c>
      <c r="D59" s="34">
        <f t="shared" si="0"/>
        <v>7801207</v>
      </c>
      <c r="E59" s="34">
        <v>602167</v>
      </c>
      <c r="F59" s="35">
        <f t="shared" si="10"/>
        <v>512</v>
      </c>
      <c r="G59" s="34">
        <f t="shared" si="4"/>
        <v>168.01534598214286</v>
      </c>
    </row>
    <row r="60" spans="1:7" ht="12.75">
      <c r="A60" s="42">
        <f t="shared" si="7"/>
        <v>43526</v>
      </c>
      <c r="B60" s="34">
        <v>7287760</v>
      </c>
      <c r="C60" s="34">
        <v>104639</v>
      </c>
      <c r="D60" s="34">
        <f t="shared" si="0"/>
        <v>6641775</v>
      </c>
      <c r="E60" s="34">
        <v>541346</v>
      </c>
      <c r="F60" s="35">
        <f t="shared" si="10"/>
        <v>512</v>
      </c>
      <c r="G60" s="34">
        <f t="shared" si="4"/>
        <v>151.04520089285714</v>
      </c>
    </row>
    <row r="61" spans="1:7" ht="12.75">
      <c r="A61" s="42">
        <f t="shared" si="7"/>
        <v>43533</v>
      </c>
      <c r="B61" s="34">
        <v>7481475</v>
      </c>
      <c r="C61" s="34">
        <v>79857</v>
      </c>
      <c r="D61" s="34">
        <f t="shared" si="0"/>
        <v>6913652</v>
      </c>
      <c r="E61" s="34">
        <v>487966</v>
      </c>
      <c r="F61" s="35">
        <f t="shared" si="10"/>
        <v>512</v>
      </c>
      <c r="G61" s="34">
        <f t="shared" si="4"/>
        <v>136.15122767857142</v>
      </c>
    </row>
    <row r="62" spans="1:7" ht="12.75">
      <c r="A62" s="42">
        <f t="shared" si="7"/>
        <v>43540</v>
      </c>
      <c r="B62" s="34">
        <v>8117931</v>
      </c>
      <c r="C62" s="34">
        <f>97162-13800</f>
        <v>83362</v>
      </c>
      <c r="D62" s="34">
        <f t="shared" si="0"/>
        <v>7425545</v>
      </c>
      <c r="E62" s="34">
        <v>609024</v>
      </c>
      <c r="F62" s="35">
        <f t="shared" si="10"/>
        <v>512</v>
      </c>
      <c r="G62" s="34">
        <f t="shared" si="4"/>
        <v>169.92857142857142</v>
      </c>
    </row>
    <row r="63" spans="1:7" ht="12.75">
      <c r="A63" s="42">
        <f t="shared" si="7"/>
        <v>43547</v>
      </c>
      <c r="B63" s="34">
        <v>7409995</v>
      </c>
      <c r="C63" s="34">
        <v>97568</v>
      </c>
      <c r="D63" s="34">
        <f t="shared" si="0"/>
        <v>6788699</v>
      </c>
      <c r="E63" s="34">
        <v>523728</v>
      </c>
      <c r="F63" s="35">
        <f>3584/7</f>
        <v>512</v>
      </c>
      <c r="G63" s="34">
        <f t="shared" si="4"/>
        <v>146.12946428571428</v>
      </c>
    </row>
    <row r="64" ht="12.75">
      <c r="A64" s="42"/>
    </row>
    <row r="65" spans="1:7" ht="13.5" thickBot="1">
      <c r="A65" s="36" t="s">
        <v>8</v>
      </c>
      <c r="B65" s="40">
        <f>SUM(B12:B64)</f>
        <v>402865820.25</v>
      </c>
      <c r="C65" s="40">
        <f>SUM(C12:C64)</f>
        <v>4919812.9399999995</v>
      </c>
      <c r="D65" s="40">
        <f>SUM(D12:D64)</f>
        <v>369522294.63</v>
      </c>
      <c r="E65" s="40">
        <f>SUM(E12:E64)</f>
        <v>28423712.68</v>
      </c>
      <c r="F65" s="41">
        <f>SUM(F12:F64)/COUNT(F12:F64)</f>
        <v>587.3956043956043</v>
      </c>
      <c r="G65" s="40">
        <f>+E65/SUM(F12:F64)/7</f>
        <v>132.93787383308702</v>
      </c>
    </row>
    <row r="66" spans="1:5" s="37" customFormat="1" ht="13.5" thickTop="1">
      <c r="A66" s="39"/>
      <c r="B66" s="38"/>
      <c r="C66" s="38"/>
      <c r="D66" s="38"/>
      <c r="E66" s="38"/>
    </row>
  </sheetData>
  <sheetProtection/>
  <mergeCells count="6">
    <mergeCell ref="A7:G7"/>
    <mergeCell ref="A1:G1"/>
    <mergeCell ref="A2:G2"/>
    <mergeCell ref="A3:G3"/>
    <mergeCell ref="A4:G4"/>
    <mergeCell ref="A5:G5"/>
  </mergeCells>
  <hyperlinks>
    <hyperlink ref="A4" r:id="rId1" display="www.vernondowns.com"/>
  </hyperlinks>
  <printOptions horizontalCentered="1"/>
  <pageMargins left="0" right="0" top="0.5" bottom="0.5" header="0.5" footer="0.5"/>
  <pageSetup fitToHeight="1" fitToWidth="1" horizontalDpi="600" verticalDpi="600" orientation="portrait" scale="87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PageLayoutView="0" workbookViewId="0" topLeftCell="A1">
      <pane ySplit="11" topLeftCell="A54" activePane="bottomLeft" state="frozen"/>
      <selection pane="topLeft" activeCell="A1" sqref="A1"/>
      <selection pane="bottomLeft" activeCell="B70" sqref="B70"/>
    </sheetView>
  </sheetViews>
  <sheetFormatPr defaultColWidth="9.140625" defaultRowHeight="12.75"/>
  <cols>
    <col min="1" max="1" width="15.7109375" style="3" customWidth="1"/>
    <col min="2" max="5" width="15.7109375" style="15" customWidth="1"/>
    <col min="6" max="6" width="15.7109375" style="16" customWidth="1"/>
    <col min="7" max="7" width="15.7109375" style="15" customWidth="1"/>
  </cols>
  <sheetData>
    <row r="1" spans="1:11" ht="18">
      <c r="A1" s="71" t="s">
        <v>19</v>
      </c>
      <c r="B1" s="71"/>
      <c r="C1" s="71"/>
      <c r="D1" s="71"/>
      <c r="E1" s="71"/>
      <c r="F1" s="71"/>
      <c r="G1" s="71"/>
      <c r="H1" s="25"/>
      <c r="I1" s="25"/>
      <c r="J1" s="25"/>
      <c r="K1" s="25"/>
    </row>
    <row r="2" spans="1:11" ht="15">
      <c r="A2" s="72" t="s">
        <v>15</v>
      </c>
      <c r="B2" s="72"/>
      <c r="C2" s="72"/>
      <c r="D2" s="72"/>
      <c r="E2" s="72"/>
      <c r="F2" s="72"/>
      <c r="G2" s="72"/>
      <c r="H2" s="26"/>
      <c r="I2" s="26"/>
      <c r="J2" s="26"/>
      <c r="K2" s="26"/>
    </row>
    <row r="3" spans="1:11" s="1" customFormat="1" ht="15">
      <c r="A3" s="72" t="s">
        <v>16</v>
      </c>
      <c r="B3" s="72"/>
      <c r="C3" s="72"/>
      <c r="D3" s="72"/>
      <c r="E3" s="72"/>
      <c r="F3" s="72"/>
      <c r="G3" s="72"/>
      <c r="H3" s="26"/>
      <c r="I3" s="26"/>
      <c r="J3" s="26"/>
      <c r="K3" s="26"/>
    </row>
    <row r="4" spans="1:11" s="1" customFormat="1" ht="14.25" customHeight="1">
      <c r="A4" s="63" t="s">
        <v>17</v>
      </c>
      <c r="B4" s="63"/>
      <c r="C4" s="63"/>
      <c r="D4" s="63"/>
      <c r="E4" s="63"/>
      <c r="F4" s="63"/>
      <c r="G4" s="63"/>
      <c r="H4" s="27"/>
      <c r="I4" s="27"/>
      <c r="J4" s="27"/>
      <c r="K4" s="27"/>
    </row>
    <row r="5" spans="1:11" s="1" customFormat="1" ht="14.25">
      <c r="A5" s="73" t="s">
        <v>18</v>
      </c>
      <c r="B5" s="73"/>
      <c r="C5" s="73"/>
      <c r="D5" s="73"/>
      <c r="E5" s="73"/>
      <c r="F5" s="73"/>
      <c r="G5" s="73"/>
      <c r="H5" s="28"/>
      <c r="I5" s="28"/>
      <c r="J5" s="28"/>
      <c r="K5" s="28"/>
    </row>
    <row r="6" spans="1:11" s="1" customFormat="1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7" s="1" customFormat="1" ht="12.75">
      <c r="A7" s="3"/>
      <c r="B7" s="4"/>
      <c r="C7" s="4"/>
      <c r="D7" s="4"/>
      <c r="E7" s="5"/>
      <c r="F7" s="6"/>
      <c r="G7" s="5"/>
    </row>
    <row r="8" spans="1:7" s="7" customFormat="1" ht="14.25" customHeight="1">
      <c r="A8" s="68" t="s">
        <v>29</v>
      </c>
      <c r="B8" s="69"/>
      <c r="C8" s="69"/>
      <c r="D8" s="69"/>
      <c r="E8" s="69"/>
      <c r="F8" s="69"/>
      <c r="G8" s="70"/>
    </row>
    <row r="9" spans="1:7" s="1" customFormat="1" ht="9" customHeight="1">
      <c r="A9" s="3"/>
      <c r="B9" s="4"/>
      <c r="C9" s="4"/>
      <c r="D9" s="4"/>
      <c r="E9" s="5"/>
      <c r="F9" s="6"/>
      <c r="G9" s="5"/>
    </row>
    <row r="10" spans="1:7" s="12" customFormat="1" ht="12">
      <c r="A10" s="9"/>
      <c r="B10" s="10" t="s">
        <v>0</v>
      </c>
      <c r="C10" s="10" t="s">
        <v>22</v>
      </c>
      <c r="D10" s="10" t="s">
        <v>0</v>
      </c>
      <c r="E10" s="10"/>
      <c r="F10" s="11" t="s">
        <v>1</v>
      </c>
      <c r="G10" s="10" t="s">
        <v>2</v>
      </c>
    </row>
    <row r="11" spans="1:7" s="12" customFormat="1" ht="12">
      <c r="A11" s="13" t="s">
        <v>11</v>
      </c>
      <c r="B11" s="8" t="s">
        <v>3</v>
      </c>
      <c r="C11" s="8" t="s">
        <v>24</v>
      </c>
      <c r="D11" s="8" t="s">
        <v>4</v>
      </c>
      <c r="E11" s="8" t="s">
        <v>5</v>
      </c>
      <c r="F11" s="14" t="s">
        <v>6</v>
      </c>
      <c r="G11" s="8" t="s">
        <v>7</v>
      </c>
    </row>
    <row r="13" spans="1:7" ht="12.75">
      <c r="A13" s="22">
        <v>42826</v>
      </c>
      <c r="B13" s="15">
        <v>8688958</v>
      </c>
      <c r="C13" s="15">
        <v>106070.48</v>
      </c>
      <c r="D13" s="15">
        <f>+B13-C13-E13</f>
        <v>7965994.52</v>
      </c>
      <c r="E13" s="15">
        <v>616893</v>
      </c>
      <c r="F13" s="16">
        <f>5369/7</f>
        <v>767</v>
      </c>
      <c r="G13" s="15">
        <v>115</v>
      </c>
    </row>
    <row r="14" spans="1:7" ht="12.75">
      <c r="A14" s="22">
        <f aca="true" t="shared" si="0" ref="A14:A64">+A13+7</f>
        <v>42833</v>
      </c>
      <c r="B14" s="15">
        <v>8521039</v>
      </c>
      <c r="C14" s="15">
        <v>100823.91</v>
      </c>
      <c r="D14" s="15">
        <f>IF(ISBLANK(B14),"",B14-C14-E14)</f>
        <v>7780065.09</v>
      </c>
      <c r="E14" s="15">
        <v>640150</v>
      </c>
      <c r="F14" s="16">
        <f>5369/7</f>
        <v>767</v>
      </c>
      <c r="G14" s="15">
        <v>119</v>
      </c>
    </row>
    <row r="15" spans="1:7" ht="12.75">
      <c r="A15" s="22">
        <f t="shared" si="0"/>
        <v>42840</v>
      </c>
      <c r="B15" s="15">
        <v>7803290</v>
      </c>
      <c r="C15" s="15">
        <f>96764.75-12930</f>
        <v>83834.75</v>
      </c>
      <c r="D15" s="15">
        <f aca="true" t="shared" si="1" ref="D15:D64">IF(ISBLANK(B15),"",B15-C15-E15)</f>
        <v>7121871.25</v>
      </c>
      <c r="E15" s="15">
        <v>597584</v>
      </c>
      <c r="F15" s="16">
        <v>767</v>
      </c>
      <c r="G15" s="15">
        <v>111</v>
      </c>
    </row>
    <row r="16" spans="1:7" ht="12.75">
      <c r="A16" s="22">
        <f t="shared" si="0"/>
        <v>42847</v>
      </c>
      <c r="B16" s="15">
        <v>8422077</v>
      </c>
      <c r="C16" s="15">
        <v>98353.4</v>
      </c>
      <c r="D16" s="15">
        <f t="shared" si="1"/>
        <v>7697218.6</v>
      </c>
      <c r="E16" s="15">
        <v>626505</v>
      </c>
      <c r="F16" s="16">
        <f aca="true" t="shared" si="2" ref="F16:F21">5369/7</f>
        <v>767</v>
      </c>
      <c r="G16" s="15">
        <v>117</v>
      </c>
    </row>
    <row r="17" spans="1:7" ht="12.75">
      <c r="A17" s="22">
        <f t="shared" si="0"/>
        <v>42854</v>
      </c>
      <c r="B17" s="15">
        <v>8939828</v>
      </c>
      <c r="C17" s="15">
        <v>113604.32</v>
      </c>
      <c r="D17" s="15">
        <f t="shared" si="1"/>
        <v>8138936.68</v>
      </c>
      <c r="E17" s="15">
        <v>687287</v>
      </c>
      <c r="F17" s="16">
        <f t="shared" si="2"/>
        <v>767</v>
      </c>
      <c r="G17" s="15">
        <v>128</v>
      </c>
    </row>
    <row r="18" spans="1:7" ht="12.75">
      <c r="A18" s="22">
        <f t="shared" si="0"/>
        <v>42861</v>
      </c>
      <c r="B18" s="15">
        <v>9198016</v>
      </c>
      <c r="C18" s="15">
        <v>114107.26</v>
      </c>
      <c r="D18" s="15">
        <f t="shared" si="1"/>
        <v>8382819.74</v>
      </c>
      <c r="E18" s="15">
        <v>701089</v>
      </c>
      <c r="F18" s="16">
        <f t="shared" si="2"/>
        <v>767</v>
      </c>
      <c r="G18" s="15">
        <v>131</v>
      </c>
    </row>
    <row r="19" spans="1:7" ht="12.75">
      <c r="A19" s="22">
        <f t="shared" si="0"/>
        <v>42868</v>
      </c>
      <c r="B19" s="15">
        <v>8487746</v>
      </c>
      <c r="C19" s="15">
        <f>100892.65-251297</f>
        <v>-150404.35</v>
      </c>
      <c r="D19" s="15">
        <f t="shared" si="1"/>
        <v>7814960.35</v>
      </c>
      <c r="E19" s="15">
        <v>823190</v>
      </c>
      <c r="F19" s="16">
        <f t="shared" si="2"/>
        <v>767</v>
      </c>
      <c r="G19" s="15">
        <v>153</v>
      </c>
    </row>
    <row r="20" spans="1:7" ht="12.75">
      <c r="A20" s="22">
        <f t="shared" si="0"/>
        <v>42875</v>
      </c>
      <c r="B20" s="15">
        <v>8426032</v>
      </c>
      <c r="C20" s="15">
        <v>101089.17</v>
      </c>
      <c r="D20" s="15">
        <f t="shared" si="1"/>
        <v>7704402.83</v>
      </c>
      <c r="E20" s="15">
        <v>620540</v>
      </c>
      <c r="F20" s="16">
        <f t="shared" si="2"/>
        <v>767</v>
      </c>
      <c r="G20" s="15">
        <v>116</v>
      </c>
    </row>
    <row r="21" spans="1:7" ht="12.75">
      <c r="A21" s="22">
        <f t="shared" si="0"/>
        <v>42882</v>
      </c>
      <c r="B21" s="15">
        <v>8441082</v>
      </c>
      <c r="C21" s="15">
        <f>103448.57-11750</f>
        <v>91698.57</v>
      </c>
      <c r="D21" s="15">
        <f t="shared" si="1"/>
        <v>7711878.43</v>
      </c>
      <c r="E21" s="15">
        <v>637505</v>
      </c>
      <c r="F21" s="16">
        <f t="shared" si="2"/>
        <v>767</v>
      </c>
      <c r="G21" s="15">
        <v>119</v>
      </c>
    </row>
    <row r="22" spans="1:7" ht="12.75">
      <c r="A22" s="22">
        <f t="shared" si="0"/>
        <v>42889</v>
      </c>
      <c r="B22" s="15">
        <v>9317290</v>
      </c>
      <c r="C22" s="15">
        <v>136954.85</v>
      </c>
      <c r="D22" s="15">
        <f t="shared" si="1"/>
        <v>8534873.15</v>
      </c>
      <c r="E22" s="15">
        <v>645462</v>
      </c>
      <c r="F22" s="16">
        <f>5369/7</f>
        <v>767</v>
      </c>
      <c r="G22" s="15">
        <v>120</v>
      </c>
    </row>
    <row r="23" spans="1:7" ht="12.75">
      <c r="A23" s="22">
        <f t="shared" si="0"/>
        <v>42896</v>
      </c>
      <c r="B23" s="15">
        <v>7874363</v>
      </c>
      <c r="C23" s="15">
        <v>87195.86</v>
      </c>
      <c r="D23" s="15">
        <f t="shared" si="1"/>
        <v>7197600.14</v>
      </c>
      <c r="E23" s="15">
        <v>589567</v>
      </c>
      <c r="F23" s="16">
        <v>767</v>
      </c>
      <c r="G23" s="15">
        <v>110</v>
      </c>
    </row>
    <row r="24" spans="1:7" ht="12.75">
      <c r="A24" s="22">
        <f t="shared" si="0"/>
        <v>42903</v>
      </c>
      <c r="B24" s="15">
        <v>7739427</v>
      </c>
      <c r="C24" s="15">
        <v>98292.3</v>
      </c>
      <c r="D24" s="15">
        <f t="shared" si="1"/>
        <v>7085043.7</v>
      </c>
      <c r="E24" s="15">
        <v>556091</v>
      </c>
      <c r="F24" s="16">
        <f>5369/7</f>
        <v>767</v>
      </c>
      <c r="G24" s="15">
        <v>104</v>
      </c>
    </row>
    <row r="25" spans="1:7" ht="12.75">
      <c r="A25" s="22">
        <f t="shared" si="0"/>
        <v>42910</v>
      </c>
      <c r="B25" s="15">
        <v>7646295</v>
      </c>
      <c r="C25" s="15">
        <v>97460.43</v>
      </c>
      <c r="D25" s="15">
        <f t="shared" si="1"/>
        <v>6967706.57</v>
      </c>
      <c r="E25" s="15">
        <v>581128</v>
      </c>
      <c r="F25" s="16">
        <f>5369/7</f>
        <v>767</v>
      </c>
      <c r="G25" s="15">
        <v>108</v>
      </c>
    </row>
    <row r="26" spans="1:7" ht="12.75">
      <c r="A26" s="22">
        <f t="shared" si="0"/>
        <v>42917</v>
      </c>
      <c r="B26" s="15">
        <v>8486926</v>
      </c>
      <c r="C26" s="15">
        <v>114931.4</v>
      </c>
      <c r="D26" s="15">
        <f t="shared" si="1"/>
        <v>7768741.6</v>
      </c>
      <c r="E26" s="15">
        <v>603253</v>
      </c>
      <c r="F26" s="16">
        <v>767</v>
      </c>
      <c r="G26" s="15">
        <v>112</v>
      </c>
    </row>
    <row r="27" spans="1:7" ht="12.75">
      <c r="A27" s="22">
        <f t="shared" si="0"/>
        <v>42924</v>
      </c>
      <c r="B27" s="15">
        <v>9877887</v>
      </c>
      <c r="C27" s="15">
        <v>125277.1</v>
      </c>
      <c r="D27" s="15">
        <f t="shared" si="1"/>
        <v>9033746.9</v>
      </c>
      <c r="E27" s="15">
        <v>718863</v>
      </c>
      <c r="F27" s="16">
        <f>5369/7</f>
        <v>767</v>
      </c>
      <c r="G27" s="15">
        <v>134</v>
      </c>
    </row>
    <row r="28" spans="1:7" ht="12.75">
      <c r="A28" s="22">
        <f t="shared" si="0"/>
        <v>42931</v>
      </c>
      <c r="B28" s="15">
        <v>7742511</v>
      </c>
      <c r="C28" s="15">
        <v>98465.02</v>
      </c>
      <c r="D28" s="15">
        <f t="shared" si="1"/>
        <v>7070653.98</v>
      </c>
      <c r="E28" s="15">
        <v>573392</v>
      </c>
      <c r="F28" s="16">
        <f>5369/7</f>
        <v>767</v>
      </c>
      <c r="G28" s="15">
        <v>107</v>
      </c>
    </row>
    <row r="29" spans="1:7" ht="12.75">
      <c r="A29" s="22">
        <f t="shared" si="0"/>
        <v>42938</v>
      </c>
      <c r="B29" s="15">
        <v>7869263</v>
      </c>
      <c r="C29" s="15">
        <f>99765.76-14336</f>
        <v>85429.76</v>
      </c>
      <c r="D29" s="15">
        <f t="shared" si="1"/>
        <v>7193117.24</v>
      </c>
      <c r="E29" s="15">
        <v>590716</v>
      </c>
      <c r="F29" s="16">
        <f>5369/7</f>
        <v>767</v>
      </c>
      <c r="G29" s="15">
        <v>110</v>
      </c>
    </row>
    <row r="30" spans="1:7" ht="12.75">
      <c r="A30" s="22">
        <f t="shared" si="0"/>
        <v>42945</v>
      </c>
      <c r="B30" s="15">
        <v>8318104</v>
      </c>
      <c r="C30" s="15">
        <v>106897.64</v>
      </c>
      <c r="D30" s="15">
        <f t="shared" si="1"/>
        <v>7636810.36</v>
      </c>
      <c r="E30" s="15">
        <v>574396</v>
      </c>
      <c r="F30" s="16">
        <v>767</v>
      </c>
      <c r="G30" s="15">
        <v>107</v>
      </c>
    </row>
    <row r="31" spans="1:7" ht="12.75">
      <c r="A31" s="22">
        <f t="shared" si="0"/>
        <v>42952</v>
      </c>
      <c r="B31" s="15">
        <v>8497342</v>
      </c>
      <c r="C31" s="15">
        <v>111561.74</v>
      </c>
      <c r="D31" s="15">
        <f t="shared" si="1"/>
        <v>7809998.26</v>
      </c>
      <c r="E31" s="15">
        <v>575782</v>
      </c>
      <c r="F31" s="16">
        <f>5369/7</f>
        <v>767</v>
      </c>
      <c r="G31" s="15">
        <v>107</v>
      </c>
    </row>
    <row r="32" spans="1:7" ht="12.75">
      <c r="A32" s="22">
        <f t="shared" si="0"/>
        <v>42959</v>
      </c>
      <c r="B32" s="15">
        <v>8320833</v>
      </c>
      <c r="C32" s="15">
        <f>114323-17692</f>
        <v>96631</v>
      </c>
      <c r="D32" s="15">
        <f t="shared" si="1"/>
        <v>7599467</v>
      </c>
      <c r="E32" s="15">
        <v>624735</v>
      </c>
      <c r="F32" s="16">
        <v>767</v>
      </c>
      <c r="G32" s="15">
        <v>116</v>
      </c>
    </row>
    <row r="33" spans="1:7" ht="12.75">
      <c r="A33" s="22">
        <f t="shared" si="0"/>
        <v>42966</v>
      </c>
      <c r="B33" s="15">
        <v>9028557</v>
      </c>
      <c r="C33" s="15">
        <v>119012</v>
      </c>
      <c r="D33" s="15">
        <f t="shared" si="1"/>
        <v>8283369</v>
      </c>
      <c r="E33" s="15">
        <v>626176</v>
      </c>
      <c r="F33" s="16">
        <f aca="true" t="shared" si="3" ref="F33:F38">5369/7</f>
        <v>767</v>
      </c>
      <c r="G33" s="15">
        <v>117</v>
      </c>
    </row>
    <row r="34" spans="1:7" ht="12.75">
      <c r="A34" s="22">
        <f t="shared" si="0"/>
        <v>42973</v>
      </c>
      <c r="B34" s="15">
        <v>8536220</v>
      </c>
      <c r="C34" s="15">
        <f>112546-13770</f>
        <v>98776</v>
      </c>
      <c r="D34" s="15">
        <f t="shared" si="1"/>
        <v>7832799</v>
      </c>
      <c r="E34" s="15">
        <v>604645</v>
      </c>
      <c r="F34" s="16">
        <f t="shared" si="3"/>
        <v>767</v>
      </c>
      <c r="G34" s="15">
        <v>113</v>
      </c>
    </row>
    <row r="35" spans="1:7" ht="12.75">
      <c r="A35" s="22">
        <f t="shared" si="0"/>
        <v>42980</v>
      </c>
      <c r="B35" s="15">
        <v>9065508</v>
      </c>
      <c r="C35" s="15">
        <v>127251</v>
      </c>
      <c r="D35" s="15">
        <f t="shared" si="1"/>
        <v>8296445</v>
      </c>
      <c r="E35" s="15">
        <v>641812</v>
      </c>
      <c r="F35" s="16">
        <f t="shared" si="3"/>
        <v>767</v>
      </c>
      <c r="G35" s="15">
        <v>120</v>
      </c>
    </row>
    <row r="36" spans="1:7" ht="12.75">
      <c r="A36" s="22">
        <f t="shared" si="0"/>
        <v>42987</v>
      </c>
      <c r="B36" s="15">
        <v>9232415</v>
      </c>
      <c r="C36" s="15">
        <v>121708</v>
      </c>
      <c r="D36" s="15">
        <f t="shared" si="1"/>
        <v>8465609</v>
      </c>
      <c r="E36" s="15">
        <v>645098</v>
      </c>
      <c r="F36" s="16">
        <f t="shared" si="3"/>
        <v>767</v>
      </c>
      <c r="G36" s="15">
        <v>120</v>
      </c>
    </row>
    <row r="37" spans="1:7" ht="12.75">
      <c r="A37" s="22">
        <f t="shared" si="0"/>
        <v>42994</v>
      </c>
      <c r="B37" s="15">
        <v>7779613</v>
      </c>
      <c r="C37" s="15">
        <v>108729</v>
      </c>
      <c r="D37" s="15">
        <f t="shared" si="1"/>
        <v>7115537</v>
      </c>
      <c r="E37" s="15">
        <v>555347</v>
      </c>
      <c r="F37" s="16">
        <f t="shared" si="3"/>
        <v>767</v>
      </c>
      <c r="G37" s="15">
        <v>103</v>
      </c>
    </row>
    <row r="38" spans="1:7" ht="12.75">
      <c r="A38" s="22">
        <f t="shared" si="0"/>
        <v>43001</v>
      </c>
      <c r="B38" s="15">
        <v>7472356</v>
      </c>
      <c r="C38" s="15">
        <v>111045</v>
      </c>
      <c r="D38" s="15">
        <f t="shared" si="1"/>
        <v>6851593</v>
      </c>
      <c r="E38" s="15">
        <v>509718</v>
      </c>
      <c r="F38" s="16">
        <f t="shared" si="3"/>
        <v>767</v>
      </c>
      <c r="G38" s="15">
        <v>95</v>
      </c>
    </row>
    <row r="39" spans="1:7" ht="12.75">
      <c r="A39" s="22">
        <f t="shared" si="0"/>
        <v>43008</v>
      </c>
      <c r="B39" s="15">
        <v>8151506</v>
      </c>
      <c r="C39" s="15">
        <v>107885</v>
      </c>
      <c r="D39" s="15">
        <f t="shared" si="1"/>
        <v>7445053</v>
      </c>
      <c r="E39" s="15">
        <v>598568</v>
      </c>
      <c r="F39" s="16">
        <f aca="true" t="shared" si="4" ref="F39:F44">5369/7</f>
        <v>767</v>
      </c>
      <c r="G39" s="15">
        <v>111</v>
      </c>
    </row>
    <row r="40" spans="1:7" ht="12.75">
      <c r="A40" s="22">
        <f t="shared" si="0"/>
        <v>43015</v>
      </c>
      <c r="B40" s="15">
        <v>8633636</v>
      </c>
      <c r="C40" s="15">
        <v>123756</v>
      </c>
      <c r="D40" s="15">
        <f t="shared" si="1"/>
        <v>7915502</v>
      </c>
      <c r="E40" s="15">
        <v>594378</v>
      </c>
      <c r="F40" s="16">
        <f t="shared" si="4"/>
        <v>767</v>
      </c>
      <c r="G40" s="15">
        <v>111</v>
      </c>
    </row>
    <row r="41" spans="1:7" ht="12.75">
      <c r="A41" s="22">
        <f t="shared" si="0"/>
        <v>43022</v>
      </c>
      <c r="B41" s="15">
        <v>8666362</v>
      </c>
      <c r="C41" s="15">
        <f>122114-20496</f>
        <v>101618</v>
      </c>
      <c r="D41" s="15">
        <f t="shared" si="1"/>
        <v>7945195</v>
      </c>
      <c r="E41" s="15">
        <v>619549</v>
      </c>
      <c r="F41" s="16">
        <f t="shared" si="4"/>
        <v>767</v>
      </c>
      <c r="G41" s="15">
        <v>115</v>
      </c>
    </row>
    <row r="42" spans="1:7" ht="12.75">
      <c r="A42" s="22">
        <f t="shared" si="0"/>
        <v>43029</v>
      </c>
      <c r="B42" s="15">
        <v>8357258</v>
      </c>
      <c r="C42" s="15">
        <v>114475</v>
      </c>
      <c r="D42" s="15">
        <f t="shared" si="1"/>
        <v>7651232</v>
      </c>
      <c r="E42" s="15">
        <v>591551</v>
      </c>
      <c r="F42" s="16">
        <f t="shared" si="4"/>
        <v>767</v>
      </c>
      <c r="G42" s="15">
        <v>110</v>
      </c>
    </row>
    <row r="43" spans="1:7" ht="12.75">
      <c r="A43" s="22">
        <f t="shared" si="0"/>
        <v>43036</v>
      </c>
      <c r="B43" s="15">
        <v>7892854</v>
      </c>
      <c r="C43" s="15">
        <v>111262</v>
      </c>
      <c r="D43" s="15">
        <f t="shared" si="1"/>
        <v>7232595</v>
      </c>
      <c r="E43" s="15">
        <v>548997</v>
      </c>
      <c r="F43" s="16">
        <f t="shared" si="4"/>
        <v>767</v>
      </c>
      <c r="G43" s="15">
        <v>102</v>
      </c>
    </row>
    <row r="44" spans="1:7" ht="12.75">
      <c r="A44" s="22">
        <f t="shared" si="0"/>
        <v>43043</v>
      </c>
      <c r="B44" s="15">
        <v>8040717</v>
      </c>
      <c r="C44" s="15">
        <v>107544</v>
      </c>
      <c r="D44" s="15">
        <f t="shared" si="1"/>
        <v>7345584</v>
      </c>
      <c r="E44" s="15">
        <v>587589</v>
      </c>
      <c r="F44" s="16">
        <f t="shared" si="4"/>
        <v>767</v>
      </c>
      <c r="G44" s="15">
        <v>109</v>
      </c>
    </row>
    <row r="45" spans="1:7" ht="12.75">
      <c r="A45" s="22">
        <f t="shared" si="0"/>
        <v>43050</v>
      </c>
      <c r="B45" s="15">
        <v>7296099</v>
      </c>
      <c r="C45" s="15">
        <f>91948-24215</f>
        <v>67733</v>
      </c>
      <c r="D45" s="15">
        <f t="shared" si="1"/>
        <v>6679463</v>
      </c>
      <c r="E45" s="15">
        <v>548903</v>
      </c>
      <c r="F45" s="16">
        <f aca="true" t="shared" si="5" ref="F45:F50">5369/7</f>
        <v>767</v>
      </c>
      <c r="G45" s="15">
        <v>102</v>
      </c>
    </row>
    <row r="46" spans="1:7" ht="12.75">
      <c r="A46" s="22">
        <f t="shared" si="0"/>
        <v>43057</v>
      </c>
      <c r="B46" s="15">
        <v>7135597</v>
      </c>
      <c r="C46" s="15">
        <v>98708</v>
      </c>
      <c r="D46" s="15">
        <f t="shared" si="1"/>
        <v>6554779</v>
      </c>
      <c r="E46" s="15">
        <v>482110</v>
      </c>
      <c r="F46" s="16">
        <f t="shared" si="5"/>
        <v>767</v>
      </c>
      <c r="G46" s="15">
        <v>90</v>
      </c>
    </row>
    <row r="47" spans="1:7" ht="12.75">
      <c r="A47" s="22">
        <f t="shared" si="0"/>
        <v>43064</v>
      </c>
      <c r="B47" s="15">
        <v>7901812</v>
      </c>
      <c r="C47" s="15">
        <v>111730</v>
      </c>
      <c r="D47" s="15">
        <f t="shared" si="1"/>
        <v>7221612</v>
      </c>
      <c r="E47" s="15">
        <v>568470</v>
      </c>
      <c r="F47" s="16">
        <f t="shared" si="5"/>
        <v>767</v>
      </c>
      <c r="G47" s="15">
        <v>106</v>
      </c>
    </row>
    <row r="48" spans="1:7" ht="12.75">
      <c r="A48" s="22">
        <f t="shared" si="0"/>
        <v>43071</v>
      </c>
      <c r="B48" s="15">
        <v>6941235</v>
      </c>
      <c r="C48" s="15">
        <v>92316</v>
      </c>
      <c r="D48" s="15">
        <f t="shared" si="1"/>
        <v>6361444</v>
      </c>
      <c r="E48" s="15">
        <v>487475</v>
      </c>
      <c r="F48" s="16">
        <f t="shared" si="5"/>
        <v>767</v>
      </c>
      <c r="G48" s="15">
        <v>91</v>
      </c>
    </row>
    <row r="49" spans="1:7" ht="12.75">
      <c r="A49" s="22">
        <f t="shared" si="0"/>
        <v>43078</v>
      </c>
      <c r="B49" s="15">
        <v>7149872</v>
      </c>
      <c r="C49" s="15">
        <f>95357-31350</f>
        <v>64007</v>
      </c>
      <c r="D49" s="15">
        <f t="shared" si="1"/>
        <v>6535501</v>
      </c>
      <c r="E49" s="15">
        <v>550364</v>
      </c>
      <c r="F49" s="16">
        <f t="shared" si="5"/>
        <v>767</v>
      </c>
      <c r="G49" s="15">
        <v>103</v>
      </c>
    </row>
    <row r="50" spans="1:7" ht="12.75">
      <c r="A50" s="22">
        <f t="shared" si="0"/>
        <v>43085</v>
      </c>
      <c r="B50" s="15">
        <v>4804650</v>
      </c>
      <c r="C50" s="15">
        <v>69109</v>
      </c>
      <c r="D50" s="15">
        <f t="shared" si="1"/>
        <v>4410607</v>
      </c>
      <c r="E50" s="15">
        <v>324934</v>
      </c>
      <c r="F50" s="16">
        <f t="shared" si="5"/>
        <v>767</v>
      </c>
      <c r="G50" s="15">
        <v>61</v>
      </c>
    </row>
    <row r="51" spans="1:7" ht="12.75">
      <c r="A51" s="22">
        <f t="shared" si="0"/>
        <v>43092</v>
      </c>
      <c r="B51" s="15">
        <v>5509735</v>
      </c>
      <c r="C51" s="15">
        <v>79942</v>
      </c>
      <c r="D51" s="15">
        <f t="shared" si="1"/>
        <v>5058631</v>
      </c>
      <c r="E51" s="15">
        <v>371162</v>
      </c>
      <c r="F51" s="16">
        <f aca="true" t="shared" si="6" ref="F51:F56">5369/7</f>
        <v>767</v>
      </c>
      <c r="G51" s="15">
        <v>69</v>
      </c>
    </row>
    <row r="52" spans="1:7" ht="12.75">
      <c r="A52" s="22">
        <f t="shared" si="0"/>
        <v>43099</v>
      </c>
      <c r="B52" s="15">
        <v>6125385</v>
      </c>
      <c r="C52" s="15">
        <v>80157</v>
      </c>
      <c r="D52" s="15">
        <f t="shared" si="1"/>
        <v>5603513</v>
      </c>
      <c r="E52" s="15">
        <v>441715</v>
      </c>
      <c r="F52" s="16">
        <f t="shared" si="6"/>
        <v>767</v>
      </c>
      <c r="G52" s="15">
        <v>82</v>
      </c>
    </row>
    <row r="53" spans="1:7" ht="12.75">
      <c r="A53" s="22">
        <f t="shared" si="0"/>
        <v>43106</v>
      </c>
      <c r="B53" s="15">
        <v>6440845</v>
      </c>
      <c r="C53" s="15">
        <v>84999</v>
      </c>
      <c r="D53" s="15">
        <f t="shared" si="1"/>
        <v>5888276</v>
      </c>
      <c r="E53" s="15">
        <v>467570</v>
      </c>
      <c r="F53" s="16">
        <f t="shared" si="6"/>
        <v>767</v>
      </c>
      <c r="G53" s="15">
        <v>87</v>
      </c>
    </row>
    <row r="54" spans="1:7" ht="12.75">
      <c r="A54" s="22">
        <f t="shared" si="0"/>
        <v>43113</v>
      </c>
      <c r="B54" s="15">
        <v>6339471</v>
      </c>
      <c r="C54" s="15">
        <f>91891-24203</f>
        <v>67688</v>
      </c>
      <c r="D54" s="15">
        <f t="shared" si="1"/>
        <v>5805164</v>
      </c>
      <c r="E54" s="15">
        <v>466619</v>
      </c>
      <c r="F54" s="16">
        <f t="shared" si="6"/>
        <v>767</v>
      </c>
      <c r="G54" s="15">
        <v>87</v>
      </c>
    </row>
    <row r="55" spans="1:7" ht="12.75">
      <c r="A55" s="22">
        <f t="shared" si="0"/>
        <v>43120</v>
      </c>
      <c r="B55" s="15">
        <v>7980418</v>
      </c>
      <c r="C55" s="15">
        <v>107198</v>
      </c>
      <c r="D55" s="15">
        <f t="shared" si="1"/>
        <v>7383371</v>
      </c>
      <c r="E55" s="15">
        <v>489849</v>
      </c>
      <c r="F55" s="16">
        <f t="shared" si="6"/>
        <v>767</v>
      </c>
      <c r="G55" s="15">
        <v>91</v>
      </c>
    </row>
    <row r="56" spans="1:7" ht="12.75">
      <c r="A56" s="22">
        <f t="shared" si="0"/>
        <v>43127</v>
      </c>
      <c r="B56" s="15">
        <v>7634743</v>
      </c>
      <c r="C56" s="15">
        <v>89760</v>
      </c>
      <c r="D56" s="15">
        <f t="shared" si="1"/>
        <v>6991932</v>
      </c>
      <c r="E56" s="15">
        <v>553051</v>
      </c>
      <c r="F56" s="16">
        <f t="shared" si="6"/>
        <v>767</v>
      </c>
      <c r="G56" s="15">
        <v>103</v>
      </c>
    </row>
    <row r="57" spans="1:7" ht="12.75">
      <c r="A57" s="22">
        <f t="shared" si="0"/>
        <v>43134</v>
      </c>
      <c r="B57" s="15">
        <v>7081951</v>
      </c>
      <c r="C57" s="15">
        <v>88869</v>
      </c>
      <c r="D57" s="15">
        <f t="shared" si="1"/>
        <v>6481827</v>
      </c>
      <c r="E57" s="15">
        <v>511255</v>
      </c>
      <c r="F57" s="16">
        <f aca="true" t="shared" si="7" ref="F57:F63">5369/7</f>
        <v>767</v>
      </c>
      <c r="G57" s="15">
        <v>95</v>
      </c>
    </row>
    <row r="58" spans="1:7" ht="12.75">
      <c r="A58" s="22">
        <f t="shared" si="0"/>
        <v>43141</v>
      </c>
      <c r="B58" s="15">
        <v>5915368</v>
      </c>
      <c r="C58" s="15">
        <v>74366</v>
      </c>
      <c r="D58" s="15">
        <f t="shared" si="1"/>
        <v>5451491</v>
      </c>
      <c r="E58" s="15">
        <v>389511</v>
      </c>
      <c r="F58" s="16">
        <f t="shared" si="7"/>
        <v>767</v>
      </c>
      <c r="G58" s="15">
        <v>73</v>
      </c>
    </row>
    <row r="59" spans="1:7" ht="12.75">
      <c r="A59" s="22">
        <f t="shared" si="0"/>
        <v>43148</v>
      </c>
      <c r="B59" s="15">
        <v>9207901</v>
      </c>
      <c r="C59" s="15">
        <v>119425</v>
      </c>
      <c r="D59" s="15">
        <f t="shared" si="1"/>
        <v>8410000</v>
      </c>
      <c r="E59" s="15">
        <v>678476</v>
      </c>
      <c r="F59" s="16">
        <f t="shared" si="7"/>
        <v>767</v>
      </c>
      <c r="G59" s="15">
        <v>126</v>
      </c>
    </row>
    <row r="60" spans="1:7" ht="12.75">
      <c r="A60" s="22">
        <f t="shared" si="0"/>
        <v>43155</v>
      </c>
      <c r="B60" s="15">
        <v>9283814</v>
      </c>
      <c r="C60" s="15">
        <f>115115-24706</f>
        <v>90409</v>
      </c>
      <c r="D60" s="15">
        <f t="shared" si="1"/>
        <v>8504753</v>
      </c>
      <c r="E60" s="15">
        <v>688652</v>
      </c>
      <c r="F60" s="16">
        <f t="shared" si="7"/>
        <v>767</v>
      </c>
      <c r="G60" s="15">
        <v>128</v>
      </c>
    </row>
    <row r="61" spans="1:7" ht="12.75">
      <c r="A61" s="22">
        <f t="shared" si="0"/>
        <v>43162</v>
      </c>
      <c r="B61" s="15">
        <v>6679370</v>
      </c>
      <c r="C61" s="15">
        <v>74201</v>
      </c>
      <c r="D61" s="15">
        <f t="shared" si="1"/>
        <v>6126158</v>
      </c>
      <c r="E61" s="15">
        <v>479011</v>
      </c>
      <c r="F61" s="16">
        <f t="shared" si="7"/>
        <v>767</v>
      </c>
      <c r="G61" s="15">
        <v>89</v>
      </c>
    </row>
    <row r="62" spans="1:7" ht="12.75">
      <c r="A62" s="22">
        <f t="shared" si="0"/>
        <v>43169</v>
      </c>
      <c r="B62" s="15">
        <v>7374769</v>
      </c>
      <c r="C62" s="15">
        <f>93053-20910</f>
        <v>72143</v>
      </c>
      <c r="D62" s="15">
        <f t="shared" si="1"/>
        <v>6731642</v>
      </c>
      <c r="E62" s="15">
        <v>570984</v>
      </c>
      <c r="F62" s="16">
        <f t="shared" si="7"/>
        <v>767</v>
      </c>
      <c r="G62" s="15">
        <v>106</v>
      </c>
    </row>
    <row r="63" spans="1:7" ht="12.75">
      <c r="A63" s="22">
        <f t="shared" si="0"/>
        <v>43176</v>
      </c>
      <c r="B63" s="15">
        <v>7930410.56</v>
      </c>
      <c r="C63" s="15">
        <v>105885.25</v>
      </c>
      <c r="D63" s="15">
        <f t="shared" si="1"/>
        <v>7271755.12</v>
      </c>
      <c r="E63" s="15">
        <v>552770.1899999996</v>
      </c>
      <c r="F63" s="16">
        <f t="shared" si="7"/>
        <v>767</v>
      </c>
      <c r="G63" s="15">
        <v>102.95589308996081</v>
      </c>
    </row>
    <row r="64" spans="1:7" ht="12.75">
      <c r="A64" s="22">
        <f t="shared" si="0"/>
        <v>43183</v>
      </c>
      <c r="B64" s="15">
        <v>8346338</v>
      </c>
      <c r="C64" s="15">
        <v>111712</v>
      </c>
      <c r="D64" s="15">
        <f t="shared" si="1"/>
        <v>7690651</v>
      </c>
      <c r="E64" s="15">
        <v>543975</v>
      </c>
      <c r="F64" s="16">
        <f>5369/7</f>
        <v>767</v>
      </c>
      <c r="G64" s="15">
        <v>101</v>
      </c>
    </row>
    <row r="65" ht="12.75">
      <c r="A65" s="22"/>
    </row>
    <row r="66" spans="1:7" ht="13.5" thickBot="1">
      <c r="A66" s="3" t="s">
        <v>8</v>
      </c>
      <c r="B66" s="17">
        <f>SUM(B13:B65)</f>
        <v>412555094.56</v>
      </c>
      <c r="C66" s="17">
        <f>SUM(C13:C65)</f>
        <v>4921692.859999999</v>
      </c>
      <c r="D66" s="17">
        <f>SUM(D13:D65)</f>
        <v>377758989.51</v>
      </c>
      <c r="E66" s="17">
        <f>SUM(E13:E65)</f>
        <v>29874412.19</v>
      </c>
      <c r="F66" s="23">
        <f>SUM(F13:F65)/COUNT(F13:F65)</f>
        <v>767</v>
      </c>
      <c r="G66" s="17">
        <f>+E66/SUM(F13:F65)/7</f>
        <v>107.00464271387023</v>
      </c>
    </row>
    <row r="67" spans="1:5" s="21" customFormat="1" ht="13.5" thickTop="1">
      <c r="A67" s="19"/>
      <c r="B67" s="20"/>
      <c r="C67" s="20"/>
      <c r="D67" s="20"/>
      <c r="E67" s="20"/>
    </row>
  </sheetData>
  <sheetProtection/>
  <mergeCells count="6">
    <mergeCell ref="A8:G8"/>
    <mergeCell ref="A1:G1"/>
    <mergeCell ref="A2:G2"/>
    <mergeCell ref="A3:G3"/>
    <mergeCell ref="A4:G4"/>
    <mergeCell ref="A5:G5"/>
  </mergeCells>
  <hyperlinks>
    <hyperlink ref="A4" r:id="rId1" display="www.vernondowns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zoomScalePageLayoutView="0" workbookViewId="0" topLeftCell="A1">
      <pane ySplit="11" topLeftCell="A54" activePane="bottomLeft" state="frozen"/>
      <selection pane="topLeft" activeCell="A1" sqref="A1"/>
      <selection pane="bottomLeft" activeCell="B65" sqref="B65"/>
    </sheetView>
  </sheetViews>
  <sheetFormatPr defaultColWidth="9.140625" defaultRowHeight="12.75"/>
  <cols>
    <col min="1" max="1" width="15.7109375" style="3" customWidth="1"/>
    <col min="2" max="5" width="15.7109375" style="15" customWidth="1"/>
    <col min="6" max="6" width="15.7109375" style="16" customWidth="1"/>
    <col min="7" max="7" width="15.7109375" style="15" customWidth="1"/>
  </cols>
  <sheetData>
    <row r="1" spans="1:11" ht="18">
      <c r="A1" s="71" t="s">
        <v>19</v>
      </c>
      <c r="B1" s="71"/>
      <c r="C1" s="71"/>
      <c r="D1" s="71"/>
      <c r="E1" s="71"/>
      <c r="F1" s="71"/>
      <c r="G1" s="71"/>
      <c r="H1" s="25"/>
      <c r="I1" s="25"/>
      <c r="J1" s="25"/>
      <c r="K1" s="25"/>
    </row>
    <row r="2" spans="1:11" ht="15">
      <c r="A2" s="72" t="s">
        <v>15</v>
      </c>
      <c r="B2" s="72"/>
      <c r="C2" s="72"/>
      <c r="D2" s="72"/>
      <c r="E2" s="72"/>
      <c r="F2" s="72"/>
      <c r="G2" s="72"/>
      <c r="H2" s="26"/>
      <c r="I2" s="26"/>
      <c r="J2" s="26"/>
      <c r="K2" s="26"/>
    </row>
    <row r="3" spans="1:11" s="1" customFormat="1" ht="15">
      <c r="A3" s="72" t="s">
        <v>16</v>
      </c>
      <c r="B3" s="72"/>
      <c r="C3" s="72"/>
      <c r="D3" s="72"/>
      <c r="E3" s="72"/>
      <c r="F3" s="72"/>
      <c r="G3" s="72"/>
      <c r="H3" s="26"/>
      <c r="I3" s="26"/>
      <c r="J3" s="26"/>
      <c r="K3" s="26"/>
    </row>
    <row r="4" spans="1:11" s="1" customFormat="1" ht="14.25" customHeight="1">
      <c r="A4" s="63" t="s">
        <v>17</v>
      </c>
      <c r="B4" s="63"/>
      <c r="C4" s="63"/>
      <c r="D4" s="63"/>
      <c r="E4" s="63"/>
      <c r="F4" s="63"/>
      <c r="G4" s="63"/>
      <c r="H4" s="27"/>
      <c r="I4" s="27"/>
      <c r="J4" s="27"/>
      <c r="K4" s="27"/>
    </row>
    <row r="5" spans="1:11" s="1" customFormat="1" ht="14.25">
      <c r="A5" s="73" t="s">
        <v>18</v>
      </c>
      <c r="B5" s="73"/>
      <c r="C5" s="73"/>
      <c r="D5" s="73"/>
      <c r="E5" s="73"/>
      <c r="F5" s="73"/>
      <c r="G5" s="73"/>
      <c r="H5" s="28"/>
      <c r="I5" s="28"/>
      <c r="J5" s="28"/>
      <c r="K5" s="28"/>
    </row>
    <row r="6" spans="1:11" s="1" customFormat="1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7" s="1" customFormat="1" ht="12.75">
      <c r="A7" s="3"/>
      <c r="B7" s="4"/>
      <c r="C7" s="4"/>
      <c r="D7" s="4"/>
      <c r="E7" s="5"/>
      <c r="F7" s="6"/>
      <c r="G7" s="5"/>
    </row>
    <row r="8" spans="1:7" s="7" customFormat="1" ht="14.25" customHeight="1">
      <c r="A8" s="68" t="s">
        <v>28</v>
      </c>
      <c r="B8" s="69"/>
      <c r="C8" s="69"/>
      <c r="D8" s="69"/>
      <c r="E8" s="69"/>
      <c r="F8" s="69"/>
      <c r="G8" s="70"/>
    </row>
    <row r="9" spans="1:7" s="1" customFormat="1" ht="9" customHeight="1">
      <c r="A9" s="3"/>
      <c r="B9" s="4"/>
      <c r="C9" s="4"/>
      <c r="D9" s="4"/>
      <c r="E9" s="5"/>
      <c r="F9" s="6"/>
      <c r="G9" s="5"/>
    </row>
    <row r="10" spans="1:7" s="12" customFormat="1" ht="12">
      <c r="A10" s="9"/>
      <c r="B10" s="10" t="s">
        <v>0</v>
      </c>
      <c r="C10" s="10" t="s">
        <v>22</v>
      </c>
      <c r="D10" s="10" t="s">
        <v>0</v>
      </c>
      <c r="E10" s="10"/>
      <c r="F10" s="11" t="s">
        <v>1</v>
      </c>
      <c r="G10" s="10" t="s">
        <v>2</v>
      </c>
    </row>
    <row r="11" spans="1:7" s="12" customFormat="1" ht="12">
      <c r="A11" s="13" t="s">
        <v>11</v>
      </c>
      <c r="B11" s="8" t="s">
        <v>3</v>
      </c>
      <c r="C11" s="8" t="s">
        <v>24</v>
      </c>
      <c r="D11" s="8" t="s">
        <v>4</v>
      </c>
      <c r="E11" s="8" t="s">
        <v>5</v>
      </c>
      <c r="F11" s="14" t="s">
        <v>6</v>
      </c>
      <c r="G11" s="8" t="s">
        <v>7</v>
      </c>
    </row>
    <row r="13" spans="1:7" ht="12.75">
      <c r="A13" s="22">
        <v>42462</v>
      </c>
      <c r="B13" s="15">
        <v>9782846</v>
      </c>
      <c r="C13" s="15">
        <f>105078.18-20471</f>
        <v>84607.18</v>
      </c>
      <c r="D13" s="15">
        <f aca="true" t="shared" si="0" ref="D13:D38">+B13-C13-E13</f>
        <v>8909852.82</v>
      </c>
      <c r="E13" s="15">
        <v>788386</v>
      </c>
      <c r="F13" s="16">
        <v>767</v>
      </c>
      <c r="G13" s="15">
        <v>147</v>
      </c>
    </row>
    <row r="14" spans="1:7" ht="12.75">
      <c r="A14" s="22">
        <f aca="true" t="shared" si="1" ref="A14:A64">+A13+7</f>
        <v>42469</v>
      </c>
      <c r="B14" s="15">
        <v>9200824</v>
      </c>
      <c r="C14" s="15">
        <v>93638.85</v>
      </c>
      <c r="D14" s="15">
        <f t="shared" si="0"/>
        <v>8390509.15</v>
      </c>
      <c r="E14" s="15">
        <v>716676</v>
      </c>
      <c r="F14" s="16">
        <v>767</v>
      </c>
      <c r="G14" s="15">
        <v>133</v>
      </c>
    </row>
    <row r="15" spans="1:7" ht="12.75">
      <c r="A15" s="22">
        <f t="shared" si="1"/>
        <v>42476</v>
      </c>
      <c r="B15" s="15">
        <v>9543524</v>
      </c>
      <c r="C15" s="15">
        <v>104919.37</v>
      </c>
      <c r="D15" s="15">
        <f t="shared" si="0"/>
        <v>8687572.63</v>
      </c>
      <c r="E15" s="15">
        <v>751032</v>
      </c>
      <c r="F15" s="16">
        <v>767</v>
      </c>
      <c r="G15" s="15">
        <v>140</v>
      </c>
    </row>
    <row r="16" spans="1:7" ht="12.75">
      <c r="A16" s="22">
        <f t="shared" si="1"/>
        <v>42483</v>
      </c>
      <c r="B16" s="15">
        <v>10145645</v>
      </c>
      <c r="C16" s="15">
        <f>143939.42-275041</f>
        <v>-131101.58</v>
      </c>
      <c r="D16" s="15">
        <f t="shared" si="0"/>
        <v>9281948.58</v>
      </c>
      <c r="E16" s="15">
        <v>994798</v>
      </c>
      <c r="F16" s="16">
        <v>767</v>
      </c>
      <c r="G16" s="15">
        <v>185</v>
      </c>
    </row>
    <row r="17" spans="1:7" ht="12.75">
      <c r="A17" s="22">
        <f t="shared" si="1"/>
        <v>42490</v>
      </c>
      <c r="B17" s="15">
        <v>11212170</v>
      </c>
      <c r="C17" s="15">
        <v>139638.89</v>
      </c>
      <c r="D17" s="15">
        <f t="shared" si="0"/>
        <v>10213757.11</v>
      </c>
      <c r="E17" s="15">
        <v>858774</v>
      </c>
      <c r="F17" s="16">
        <v>767</v>
      </c>
      <c r="G17" s="15">
        <v>160</v>
      </c>
    </row>
    <row r="18" spans="1:7" ht="12.75">
      <c r="A18" s="22">
        <f t="shared" si="1"/>
        <v>42497</v>
      </c>
      <c r="B18" s="15">
        <v>10243769</v>
      </c>
      <c r="C18" s="15">
        <v>124242.56</v>
      </c>
      <c r="D18" s="15">
        <f t="shared" si="0"/>
        <v>9376125.44</v>
      </c>
      <c r="E18" s="15">
        <v>743401</v>
      </c>
      <c r="F18" s="16">
        <f>5369/7</f>
        <v>767</v>
      </c>
      <c r="G18" s="15">
        <v>138</v>
      </c>
    </row>
    <row r="19" spans="1:7" ht="12.75">
      <c r="A19" s="22">
        <f t="shared" si="1"/>
        <v>42504</v>
      </c>
      <c r="B19" s="15">
        <v>10241697</v>
      </c>
      <c r="C19" s="15">
        <f>119890.53-17739</f>
        <v>102151.53</v>
      </c>
      <c r="D19" s="15">
        <f t="shared" si="0"/>
        <v>9361872.47</v>
      </c>
      <c r="E19" s="15">
        <v>777673</v>
      </c>
      <c r="F19" s="16">
        <v>767</v>
      </c>
      <c r="G19" s="15">
        <v>145</v>
      </c>
    </row>
    <row r="20" spans="1:7" ht="12.75">
      <c r="A20" s="22">
        <f t="shared" si="1"/>
        <v>42511</v>
      </c>
      <c r="B20" s="15">
        <v>9453099</v>
      </c>
      <c r="C20" s="15">
        <v>113718.71</v>
      </c>
      <c r="D20" s="15">
        <f t="shared" si="0"/>
        <v>8584954.29</v>
      </c>
      <c r="E20" s="15">
        <v>754426</v>
      </c>
      <c r="F20" s="16">
        <v>767</v>
      </c>
      <c r="G20" s="15">
        <v>141</v>
      </c>
    </row>
    <row r="21" spans="1:7" ht="12.75">
      <c r="A21" s="22">
        <f t="shared" si="1"/>
        <v>42518</v>
      </c>
      <c r="B21" s="15">
        <v>10096847</v>
      </c>
      <c r="C21" s="15">
        <v>130445.15</v>
      </c>
      <c r="D21" s="15">
        <f t="shared" si="0"/>
        <v>9243332.85</v>
      </c>
      <c r="E21" s="15">
        <v>723069</v>
      </c>
      <c r="F21" s="16">
        <v>767</v>
      </c>
      <c r="G21" s="15">
        <v>135</v>
      </c>
    </row>
    <row r="22" spans="1:7" ht="12.75">
      <c r="A22" s="22">
        <f t="shared" si="1"/>
        <v>42525</v>
      </c>
      <c r="B22" s="15">
        <v>11292691</v>
      </c>
      <c r="C22" s="15">
        <v>157427.51</v>
      </c>
      <c r="D22" s="15">
        <f t="shared" si="0"/>
        <v>10319751.49</v>
      </c>
      <c r="E22" s="15">
        <v>815512</v>
      </c>
      <c r="F22" s="16">
        <v>767</v>
      </c>
      <c r="G22" s="15">
        <v>152</v>
      </c>
    </row>
    <row r="23" spans="1:7" ht="12.75">
      <c r="A23" s="22">
        <f t="shared" si="1"/>
        <v>42532</v>
      </c>
      <c r="B23" s="15">
        <v>10216577</v>
      </c>
      <c r="C23" s="15">
        <f>121735.35-200</f>
        <v>121535.35</v>
      </c>
      <c r="D23" s="15">
        <f t="shared" si="0"/>
        <v>9328422.65</v>
      </c>
      <c r="E23" s="15">
        <v>766619</v>
      </c>
      <c r="F23" s="16">
        <v>767</v>
      </c>
      <c r="G23" s="15">
        <v>143</v>
      </c>
    </row>
    <row r="24" spans="1:7" ht="12.75">
      <c r="A24" s="22">
        <f t="shared" si="1"/>
        <v>42539</v>
      </c>
      <c r="B24" s="15">
        <v>9164607</v>
      </c>
      <c r="C24" s="15">
        <v>119035.18</v>
      </c>
      <c r="D24" s="15">
        <f t="shared" si="0"/>
        <v>8381200.82</v>
      </c>
      <c r="E24" s="15">
        <v>664371</v>
      </c>
      <c r="F24" s="16">
        <v>767</v>
      </c>
      <c r="G24" s="15">
        <v>124</v>
      </c>
    </row>
    <row r="25" spans="1:7" ht="12.75">
      <c r="A25" s="22">
        <f t="shared" si="1"/>
        <v>42546</v>
      </c>
      <c r="B25" s="15">
        <v>9770149</v>
      </c>
      <c r="C25" s="15">
        <v>127092.9</v>
      </c>
      <c r="D25" s="15">
        <f t="shared" si="0"/>
        <v>8943716.1</v>
      </c>
      <c r="E25" s="15">
        <v>699340</v>
      </c>
      <c r="F25" s="16">
        <v>767</v>
      </c>
      <c r="G25" s="15">
        <v>130</v>
      </c>
    </row>
    <row r="26" spans="1:7" ht="12.75">
      <c r="A26" s="22">
        <f t="shared" si="1"/>
        <v>42553</v>
      </c>
      <c r="B26" s="15">
        <v>11669428</v>
      </c>
      <c r="C26" s="15">
        <v>195668.85</v>
      </c>
      <c r="D26" s="15">
        <f t="shared" si="0"/>
        <v>10622098.15</v>
      </c>
      <c r="E26" s="15">
        <v>851661</v>
      </c>
      <c r="F26" s="16">
        <v>767</v>
      </c>
      <c r="G26" s="15">
        <v>159</v>
      </c>
    </row>
    <row r="27" spans="1:7" ht="12.75">
      <c r="A27" s="22">
        <f t="shared" si="1"/>
        <v>42560</v>
      </c>
      <c r="B27" s="15">
        <v>11349279</v>
      </c>
      <c r="C27" s="15">
        <f>148363.67-19135</f>
        <v>129228.67000000001</v>
      </c>
      <c r="D27" s="15">
        <f t="shared" si="0"/>
        <v>10339686.33</v>
      </c>
      <c r="E27" s="15">
        <v>880364</v>
      </c>
      <c r="F27" s="16">
        <v>767</v>
      </c>
      <c r="G27" s="15">
        <v>164</v>
      </c>
    </row>
    <row r="28" spans="1:7" ht="12.75">
      <c r="A28" s="22">
        <f t="shared" si="1"/>
        <v>42567</v>
      </c>
      <c r="B28" s="15">
        <v>10106010</v>
      </c>
      <c r="C28" s="15">
        <v>130889.99</v>
      </c>
      <c r="D28" s="15">
        <f t="shared" si="0"/>
        <v>9242547.01</v>
      </c>
      <c r="E28" s="15">
        <v>732573</v>
      </c>
      <c r="F28" s="16">
        <v>767</v>
      </c>
      <c r="G28" s="15">
        <v>136</v>
      </c>
    </row>
    <row r="29" spans="1:7" ht="12.75">
      <c r="A29" s="22">
        <f t="shared" si="1"/>
        <v>42574</v>
      </c>
      <c r="B29" s="15">
        <v>9285888</v>
      </c>
      <c r="C29" s="15">
        <v>123610.29</v>
      </c>
      <c r="D29" s="15">
        <f t="shared" si="0"/>
        <v>8486951.71</v>
      </c>
      <c r="E29" s="15">
        <v>675326</v>
      </c>
      <c r="F29" s="16">
        <v>767</v>
      </c>
      <c r="G29" s="15">
        <v>126</v>
      </c>
    </row>
    <row r="30" spans="1:7" ht="12.75">
      <c r="A30" s="22">
        <f t="shared" si="1"/>
        <v>42581</v>
      </c>
      <c r="B30" s="15">
        <v>10360112</v>
      </c>
      <c r="C30" s="15">
        <v>134317.78</v>
      </c>
      <c r="D30" s="15">
        <f t="shared" si="0"/>
        <v>9454032.22</v>
      </c>
      <c r="E30" s="15">
        <v>771762</v>
      </c>
      <c r="F30" s="16">
        <v>767</v>
      </c>
      <c r="G30" s="15">
        <v>144</v>
      </c>
    </row>
    <row r="31" spans="1:7" ht="12.75">
      <c r="A31" s="22">
        <f t="shared" si="1"/>
        <v>42588</v>
      </c>
      <c r="B31" s="15">
        <v>10244926</v>
      </c>
      <c r="C31" s="15">
        <f>133806.39-22561</f>
        <v>111245.39000000001</v>
      </c>
      <c r="D31" s="15">
        <f t="shared" si="0"/>
        <v>9367939.61</v>
      </c>
      <c r="E31" s="15">
        <v>765741</v>
      </c>
      <c r="F31" s="16">
        <v>767</v>
      </c>
      <c r="G31" s="15">
        <v>143</v>
      </c>
    </row>
    <row r="32" spans="1:7" ht="12.75">
      <c r="A32" s="22">
        <f t="shared" si="1"/>
        <v>42595</v>
      </c>
      <c r="B32" s="15">
        <v>10193088</v>
      </c>
      <c r="C32" s="15">
        <v>131995.06</v>
      </c>
      <c r="D32" s="15">
        <f t="shared" si="0"/>
        <v>9295250.94</v>
      </c>
      <c r="E32" s="15">
        <v>765842</v>
      </c>
      <c r="F32" s="16">
        <v>767</v>
      </c>
      <c r="G32" s="15">
        <v>143</v>
      </c>
    </row>
    <row r="33" spans="1:7" ht="12.75">
      <c r="A33" s="22">
        <f t="shared" si="1"/>
        <v>42602</v>
      </c>
      <c r="B33" s="15">
        <v>10478376</v>
      </c>
      <c r="C33" s="15">
        <v>136018.32</v>
      </c>
      <c r="D33" s="15">
        <f t="shared" si="0"/>
        <v>9554412.68</v>
      </c>
      <c r="E33" s="15">
        <v>787945</v>
      </c>
      <c r="F33" s="16">
        <v>767</v>
      </c>
      <c r="G33" s="15">
        <v>147</v>
      </c>
    </row>
    <row r="34" spans="1:7" ht="12.75">
      <c r="A34" s="22">
        <f t="shared" si="1"/>
        <v>42609</v>
      </c>
      <c r="B34" s="15">
        <v>10896958</v>
      </c>
      <c r="C34" s="15">
        <v>137117.63</v>
      </c>
      <c r="D34" s="15">
        <f t="shared" si="0"/>
        <v>9926229.37</v>
      </c>
      <c r="E34" s="15">
        <v>833611</v>
      </c>
      <c r="F34" s="16">
        <v>767</v>
      </c>
      <c r="G34" s="15">
        <v>155</v>
      </c>
    </row>
    <row r="35" spans="1:7" ht="12.75">
      <c r="A35" s="22">
        <f t="shared" si="1"/>
        <v>42616</v>
      </c>
      <c r="B35" s="15">
        <v>10810331</v>
      </c>
      <c r="C35" s="15">
        <v>133928.58</v>
      </c>
      <c r="D35" s="15">
        <f t="shared" si="0"/>
        <v>9930402.42</v>
      </c>
      <c r="E35" s="15">
        <v>746000</v>
      </c>
      <c r="F35" s="16">
        <v>767</v>
      </c>
      <c r="G35" s="15">
        <v>139</v>
      </c>
    </row>
    <row r="36" spans="1:7" ht="12.75">
      <c r="A36" s="22">
        <f t="shared" si="1"/>
        <v>42623</v>
      </c>
      <c r="B36" s="15">
        <v>11162941</v>
      </c>
      <c r="C36" s="15">
        <f>166435.59-16580</f>
        <v>149855.59</v>
      </c>
      <c r="D36" s="15">
        <f t="shared" si="0"/>
        <v>10209213.41</v>
      </c>
      <c r="E36" s="15">
        <v>803872</v>
      </c>
      <c r="F36" s="16">
        <v>767</v>
      </c>
      <c r="G36" s="15">
        <v>150</v>
      </c>
    </row>
    <row r="37" spans="1:7" ht="12.75">
      <c r="A37" s="22">
        <f t="shared" si="1"/>
        <v>42630</v>
      </c>
      <c r="B37" s="15">
        <v>9321523</v>
      </c>
      <c r="C37" s="15">
        <v>123234.5</v>
      </c>
      <c r="D37" s="15">
        <f t="shared" si="0"/>
        <v>8532172.5</v>
      </c>
      <c r="E37" s="15">
        <v>666116</v>
      </c>
      <c r="F37" s="16">
        <v>767</v>
      </c>
      <c r="G37" s="15">
        <v>124</v>
      </c>
    </row>
    <row r="38" spans="1:7" ht="12.75">
      <c r="A38" s="22">
        <f t="shared" si="1"/>
        <v>42637</v>
      </c>
      <c r="B38" s="15">
        <v>9935293</v>
      </c>
      <c r="C38" s="15">
        <v>126358.61</v>
      </c>
      <c r="D38" s="15">
        <f t="shared" si="0"/>
        <v>9108066.39</v>
      </c>
      <c r="E38" s="15">
        <v>700868</v>
      </c>
      <c r="F38" s="16">
        <v>767</v>
      </c>
      <c r="G38" s="15">
        <v>131</v>
      </c>
    </row>
    <row r="39" spans="1:7" ht="12.75">
      <c r="A39" s="22">
        <f t="shared" si="1"/>
        <v>42644</v>
      </c>
      <c r="B39" s="15">
        <v>9453292</v>
      </c>
      <c r="C39" s="15">
        <v>127764.05</v>
      </c>
      <c r="D39" s="15">
        <f aca="true" t="shared" si="2" ref="D39:D64">+B39-C39-E39</f>
        <v>8624420.95</v>
      </c>
      <c r="E39" s="15">
        <v>701107</v>
      </c>
      <c r="F39" s="16">
        <v>767</v>
      </c>
      <c r="G39" s="15">
        <v>131</v>
      </c>
    </row>
    <row r="40" spans="1:7" ht="12.75">
      <c r="A40" s="22">
        <f t="shared" si="1"/>
        <v>42651</v>
      </c>
      <c r="B40" s="15">
        <v>9486845</v>
      </c>
      <c r="C40" s="15">
        <f>122969.85-31300</f>
        <v>91669.85</v>
      </c>
      <c r="D40" s="15">
        <f t="shared" si="2"/>
        <v>8727765.15</v>
      </c>
      <c r="E40" s="15">
        <v>667410</v>
      </c>
      <c r="F40" s="16">
        <v>767</v>
      </c>
      <c r="G40" s="15">
        <v>124</v>
      </c>
    </row>
    <row r="41" spans="1:7" ht="12.75">
      <c r="A41" s="22">
        <f t="shared" si="1"/>
        <v>42658</v>
      </c>
      <c r="B41" s="15">
        <v>9543290</v>
      </c>
      <c r="C41" s="15">
        <v>142503.17</v>
      </c>
      <c r="D41" s="15">
        <f t="shared" si="2"/>
        <v>8710708.83</v>
      </c>
      <c r="E41" s="15">
        <v>690078</v>
      </c>
      <c r="F41" s="16">
        <v>767</v>
      </c>
      <c r="G41" s="15">
        <v>129</v>
      </c>
    </row>
    <row r="42" spans="1:7" ht="12.75">
      <c r="A42" s="22">
        <f t="shared" si="1"/>
        <v>42665</v>
      </c>
      <c r="B42" s="15">
        <v>9382200</v>
      </c>
      <c r="C42" s="15">
        <v>122240.63</v>
      </c>
      <c r="D42" s="15">
        <f t="shared" si="2"/>
        <v>8546200.37</v>
      </c>
      <c r="E42" s="15">
        <v>713759</v>
      </c>
      <c r="F42" s="16">
        <v>767</v>
      </c>
      <c r="G42" s="15">
        <v>133</v>
      </c>
    </row>
    <row r="43" spans="1:7" ht="12.75">
      <c r="A43" s="22">
        <f t="shared" si="1"/>
        <v>42672</v>
      </c>
      <c r="B43" s="15">
        <v>8953391</v>
      </c>
      <c r="C43" s="15">
        <v>119223.42</v>
      </c>
      <c r="D43" s="15">
        <f t="shared" si="2"/>
        <v>8170405.58</v>
      </c>
      <c r="E43" s="15">
        <v>663762</v>
      </c>
      <c r="F43" s="16">
        <v>767</v>
      </c>
      <c r="G43" s="15">
        <v>124</v>
      </c>
    </row>
    <row r="44" spans="1:7" ht="12.75">
      <c r="A44" s="22">
        <f t="shared" si="1"/>
        <v>42679</v>
      </c>
      <c r="B44" s="15">
        <v>9431418</v>
      </c>
      <c r="C44" s="15">
        <f>115356.73-21780</f>
        <v>93576.73</v>
      </c>
      <c r="D44" s="15">
        <f t="shared" si="2"/>
        <v>8602795.27</v>
      </c>
      <c r="E44" s="15">
        <v>735046</v>
      </c>
      <c r="F44" s="16">
        <f aca="true" t="shared" si="3" ref="F44:F49">5369/7</f>
        <v>767</v>
      </c>
      <c r="G44" s="15">
        <v>137</v>
      </c>
    </row>
    <row r="45" spans="1:7" ht="12.75">
      <c r="A45" s="22">
        <f t="shared" si="1"/>
        <v>42686</v>
      </c>
      <c r="B45" s="15">
        <v>8557081</v>
      </c>
      <c r="C45" s="15">
        <v>92447.27</v>
      </c>
      <c r="D45" s="15">
        <f t="shared" si="2"/>
        <v>7833894.73</v>
      </c>
      <c r="E45" s="15">
        <v>630739</v>
      </c>
      <c r="F45" s="16">
        <f t="shared" si="3"/>
        <v>767</v>
      </c>
      <c r="G45" s="15">
        <v>117</v>
      </c>
    </row>
    <row r="46" spans="1:7" ht="12.75">
      <c r="A46" s="22">
        <f t="shared" si="1"/>
        <v>42693</v>
      </c>
      <c r="B46" s="15">
        <v>8451777</v>
      </c>
      <c r="C46" s="15">
        <v>99356.32</v>
      </c>
      <c r="D46" s="15">
        <f t="shared" si="2"/>
        <v>7732532.68</v>
      </c>
      <c r="E46" s="15">
        <v>619888</v>
      </c>
      <c r="F46" s="16">
        <f t="shared" si="3"/>
        <v>767</v>
      </c>
      <c r="G46" s="15">
        <v>115</v>
      </c>
    </row>
    <row r="47" spans="1:7" ht="12.75">
      <c r="A47" s="22">
        <f t="shared" si="1"/>
        <v>42700</v>
      </c>
      <c r="B47" s="15">
        <v>7850641</v>
      </c>
      <c r="C47" s="15">
        <v>110387.82</v>
      </c>
      <c r="D47" s="15">
        <f t="shared" si="2"/>
        <v>7168248.18</v>
      </c>
      <c r="E47" s="15">
        <v>572005</v>
      </c>
      <c r="F47" s="16">
        <f t="shared" si="3"/>
        <v>767</v>
      </c>
      <c r="G47" s="15">
        <v>107</v>
      </c>
    </row>
    <row r="48" spans="1:7" ht="12.75">
      <c r="A48" s="22">
        <f t="shared" si="1"/>
        <v>42707</v>
      </c>
      <c r="B48" s="15">
        <v>8215503</v>
      </c>
      <c r="C48" s="15">
        <v>110144.75</v>
      </c>
      <c r="D48" s="15">
        <f t="shared" si="2"/>
        <v>7484550.25</v>
      </c>
      <c r="E48" s="15">
        <v>620808</v>
      </c>
      <c r="F48" s="16">
        <f t="shared" si="3"/>
        <v>767</v>
      </c>
      <c r="G48" s="15">
        <v>116</v>
      </c>
    </row>
    <row r="49" spans="1:7" ht="12.75">
      <c r="A49" s="22">
        <f t="shared" si="1"/>
        <v>42714</v>
      </c>
      <c r="B49" s="15">
        <v>7019677</v>
      </c>
      <c r="C49" s="15">
        <v>82707.36</v>
      </c>
      <c r="D49" s="15">
        <f t="shared" si="2"/>
        <v>6434914.64</v>
      </c>
      <c r="E49" s="15">
        <v>502055</v>
      </c>
      <c r="F49" s="16">
        <f t="shared" si="3"/>
        <v>767</v>
      </c>
      <c r="G49" s="15">
        <v>94</v>
      </c>
    </row>
    <row r="50" spans="1:7" ht="12.75">
      <c r="A50" s="22">
        <f t="shared" si="1"/>
        <v>42721</v>
      </c>
      <c r="B50" s="15">
        <v>5509291</v>
      </c>
      <c r="C50" s="15">
        <v>65522.7</v>
      </c>
      <c r="D50" s="15">
        <f t="shared" si="2"/>
        <v>5014552.3</v>
      </c>
      <c r="E50" s="15">
        <v>429216</v>
      </c>
      <c r="F50" s="16">
        <f>5369/7</f>
        <v>767</v>
      </c>
      <c r="G50" s="15">
        <v>80</v>
      </c>
    </row>
    <row r="51" spans="1:7" ht="12.75">
      <c r="A51" s="22">
        <f t="shared" si="1"/>
        <v>42728</v>
      </c>
      <c r="B51" s="15">
        <v>5574422</v>
      </c>
      <c r="C51" s="15">
        <f>74826.59-30320</f>
        <v>44506.59</v>
      </c>
      <c r="D51" s="15">
        <f t="shared" si="2"/>
        <v>5146080.41</v>
      </c>
      <c r="E51" s="15">
        <v>383835</v>
      </c>
      <c r="F51" s="16">
        <v>767</v>
      </c>
      <c r="G51" s="15">
        <v>71</v>
      </c>
    </row>
    <row r="52" spans="1:7" ht="12.75">
      <c r="A52" s="22">
        <f t="shared" si="1"/>
        <v>42735</v>
      </c>
      <c r="B52" s="15">
        <v>9611184</v>
      </c>
      <c r="C52" s="15">
        <f>125568.05-13105</f>
        <v>112463.05</v>
      </c>
      <c r="D52" s="15">
        <f t="shared" si="2"/>
        <v>8830236.95</v>
      </c>
      <c r="E52" s="15">
        <v>668484</v>
      </c>
      <c r="F52" s="16">
        <v>767</v>
      </c>
      <c r="G52" s="15">
        <v>125</v>
      </c>
    </row>
    <row r="53" spans="1:7" ht="12.75">
      <c r="A53" s="22">
        <f t="shared" si="1"/>
        <v>42742</v>
      </c>
      <c r="B53" s="15">
        <v>8949403</v>
      </c>
      <c r="C53" s="15">
        <v>99047.89</v>
      </c>
      <c r="D53" s="15">
        <f t="shared" si="2"/>
        <v>8189915.109999999</v>
      </c>
      <c r="E53" s="15">
        <v>660440</v>
      </c>
      <c r="F53" s="16">
        <f aca="true" t="shared" si="4" ref="F53:F58">5369/7</f>
        <v>767</v>
      </c>
      <c r="G53" s="15">
        <v>123</v>
      </c>
    </row>
    <row r="54" spans="1:7" ht="12.75">
      <c r="A54" s="22">
        <f t="shared" si="1"/>
        <v>42749</v>
      </c>
      <c r="B54" s="15">
        <v>8271856</v>
      </c>
      <c r="C54" s="15">
        <v>107792.39</v>
      </c>
      <c r="D54" s="15">
        <f t="shared" si="2"/>
        <v>7576696.61</v>
      </c>
      <c r="E54" s="15">
        <v>587367</v>
      </c>
      <c r="F54" s="16">
        <f t="shared" si="4"/>
        <v>767</v>
      </c>
      <c r="G54" s="15">
        <v>109</v>
      </c>
    </row>
    <row r="55" spans="1:7" ht="12.75">
      <c r="A55" s="22">
        <f t="shared" si="1"/>
        <v>42756</v>
      </c>
      <c r="B55" s="15">
        <v>9608284</v>
      </c>
      <c r="C55" s="15">
        <v>118383.94</v>
      </c>
      <c r="D55" s="15">
        <f t="shared" si="2"/>
        <v>8785005.06</v>
      </c>
      <c r="E55" s="15">
        <v>704895</v>
      </c>
      <c r="F55" s="16">
        <f t="shared" si="4"/>
        <v>767</v>
      </c>
      <c r="G55" s="15">
        <v>131</v>
      </c>
    </row>
    <row r="56" spans="1:7" ht="12.75">
      <c r="A56" s="22">
        <f t="shared" si="1"/>
        <v>42763</v>
      </c>
      <c r="B56" s="15">
        <v>7601557</v>
      </c>
      <c r="C56" s="15">
        <v>91233.8</v>
      </c>
      <c r="D56" s="15">
        <f t="shared" si="2"/>
        <v>6936721.2</v>
      </c>
      <c r="E56" s="15">
        <v>573602</v>
      </c>
      <c r="F56" s="16">
        <f t="shared" si="4"/>
        <v>767</v>
      </c>
      <c r="G56" s="15">
        <v>107</v>
      </c>
    </row>
    <row r="57" spans="1:7" ht="12.75">
      <c r="A57" s="22">
        <f t="shared" si="1"/>
        <v>42770</v>
      </c>
      <c r="B57" s="15">
        <v>7783222</v>
      </c>
      <c r="C57" s="15">
        <f>92732.33-13170</f>
        <v>79562.33</v>
      </c>
      <c r="D57" s="15">
        <f t="shared" si="2"/>
        <v>7081431.67</v>
      </c>
      <c r="E57" s="15">
        <v>622228</v>
      </c>
      <c r="F57" s="16">
        <f t="shared" si="4"/>
        <v>767</v>
      </c>
      <c r="G57" s="15">
        <v>116</v>
      </c>
    </row>
    <row r="58" spans="1:7" ht="12.75">
      <c r="A58" s="22">
        <f t="shared" si="1"/>
        <v>42777</v>
      </c>
      <c r="B58" s="15">
        <v>7974388</v>
      </c>
      <c r="C58" s="15">
        <v>93593.11</v>
      </c>
      <c r="D58" s="15">
        <f t="shared" si="2"/>
        <v>7260312.89</v>
      </c>
      <c r="E58" s="15">
        <v>620482</v>
      </c>
      <c r="F58" s="16">
        <f t="shared" si="4"/>
        <v>767</v>
      </c>
      <c r="G58" s="15">
        <v>116</v>
      </c>
    </row>
    <row r="59" spans="1:7" ht="12.75">
      <c r="A59" s="22">
        <f t="shared" si="1"/>
        <v>42784</v>
      </c>
      <c r="B59" s="15">
        <v>7718399</v>
      </c>
      <c r="C59" s="15">
        <v>104528.34</v>
      </c>
      <c r="D59" s="15">
        <f t="shared" si="2"/>
        <v>7000153.66</v>
      </c>
      <c r="E59" s="15">
        <v>613717</v>
      </c>
      <c r="F59" s="16">
        <f>5369/7</f>
        <v>767</v>
      </c>
      <c r="G59" s="15">
        <v>114</v>
      </c>
    </row>
    <row r="60" spans="1:7" ht="12.75">
      <c r="A60" s="22">
        <f t="shared" si="1"/>
        <v>42791</v>
      </c>
      <c r="B60" s="15">
        <v>10088363</v>
      </c>
      <c r="C60" s="15">
        <v>124249.11</v>
      </c>
      <c r="D60" s="15">
        <f t="shared" si="2"/>
        <v>9187560.89</v>
      </c>
      <c r="E60" s="15">
        <v>776553</v>
      </c>
      <c r="F60" s="16">
        <f>5369/7</f>
        <v>767</v>
      </c>
      <c r="G60" s="15">
        <v>145</v>
      </c>
    </row>
    <row r="61" spans="1:7" ht="12.75">
      <c r="A61" s="22">
        <f t="shared" si="1"/>
        <v>42798</v>
      </c>
      <c r="B61" s="15">
        <v>8349282</v>
      </c>
      <c r="C61" s="15">
        <f>88738.82-9655</f>
        <v>79083.82</v>
      </c>
      <c r="D61" s="15">
        <f t="shared" si="2"/>
        <v>7609872.18</v>
      </c>
      <c r="E61" s="15">
        <v>660326</v>
      </c>
      <c r="F61" s="16">
        <f>5369/7</f>
        <v>767</v>
      </c>
      <c r="G61" s="15">
        <v>123</v>
      </c>
    </row>
    <row r="62" spans="1:7" ht="12.75">
      <c r="A62" s="22">
        <f t="shared" si="1"/>
        <v>42805</v>
      </c>
      <c r="B62" s="15">
        <v>7734967</v>
      </c>
      <c r="C62" s="15">
        <v>81629.94</v>
      </c>
      <c r="D62" s="15">
        <f t="shared" si="2"/>
        <v>7111148.06</v>
      </c>
      <c r="E62" s="15">
        <v>542189</v>
      </c>
      <c r="F62" s="16">
        <f>5369/7</f>
        <v>767</v>
      </c>
      <c r="G62" s="15">
        <v>101</v>
      </c>
    </row>
    <row r="63" spans="1:7" ht="12.75">
      <c r="A63" s="22">
        <f t="shared" si="1"/>
        <v>42812</v>
      </c>
      <c r="B63" s="15">
        <v>7580160</v>
      </c>
      <c r="C63" s="15">
        <v>103362.06</v>
      </c>
      <c r="D63" s="15">
        <f t="shared" si="2"/>
        <v>6931757.94</v>
      </c>
      <c r="E63" s="15">
        <v>545040</v>
      </c>
      <c r="F63" s="16">
        <v>767</v>
      </c>
      <c r="G63" s="15">
        <v>102</v>
      </c>
    </row>
    <row r="64" spans="1:7" ht="12.75">
      <c r="A64" s="22">
        <f t="shared" si="1"/>
        <v>42819</v>
      </c>
      <c r="B64" s="15">
        <v>8847853</v>
      </c>
      <c r="C64" s="15">
        <v>101252.16</v>
      </c>
      <c r="D64" s="15">
        <f t="shared" si="2"/>
        <v>8110239.84</v>
      </c>
      <c r="E64" s="15">
        <v>636361</v>
      </c>
      <c r="F64" s="16">
        <f>5369/7</f>
        <v>767</v>
      </c>
      <c r="G64" s="15">
        <v>119</v>
      </c>
    </row>
    <row r="65" ht="12.75">
      <c r="A65" s="22"/>
    </row>
    <row r="66" ht="12.75">
      <c r="A66" s="22"/>
    </row>
    <row r="67" spans="1:7" ht="13.5" thickBot="1">
      <c r="A67" s="3" t="s">
        <v>8</v>
      </c>
      <c r="B67" s="17">
        <f>SUM(B13:B65)</f>
        <v>483726344</v>
      </c>
      <c r="C67" s="17">
        <f>SUM(C13:C65)</f>
        <v>5649053.459999999</v>
      </c>
      <c r="D67" s="17">
        <f>SUM(D13:D65)</f>
        <v>441900140.54</v>
      </c>
      <c r="E67" s="17">
        <f>SUM(E13:E65)</f>
        <v>36177150</v>
      </c>
      <c r="F67" s="23">
        <f>SUM(F13:F65)/COUNT(F13:F65)</f>
        <v>767</v>
      </c>
      <c r="G67" s="17">
        <f>+E67/SUM(F13:F65)/7</f>
        <v>129.57988882043642</v>
      </c>
    </row>
    <row r="68" spans="1:5" s="21" customFormat="1" ht="13.5" thickTop="1">
      <c r="A68" s="19"/>
      <c r="B68" s="20"/>
      <c r="C68" s="20"/>
      <c r="D68" s="20"/>
      <c r="E68" s="20"/>
    </row>
  </sheetData>
  <sheetProtection/>
  <mergeCells count="6">
    <mergeCell ref="A8:G8"/>
    <mergeCell ref="A1:G1"/>
    <mergeCell ref="A2:G2"/>
    <mergeCell ref="A3:G3"/>
    <mergeCell ref="A4:G4"/>
    <mergeCell ref="A5:G5"/>
  </mergeCells>
  <hyperlinks>
    <hyperlink ref="A4" r:id="rId1" display="www.vernondowns.com"/>
  </hyperlinks>
  <printOptions horizontalCentered="1"/>
  <pageMargins left="0" right="0" top="0.5" bottom="0.5" header="0.5" footer="0.5"/>
  <pageSetup fitToHeight="1" fitToWidth="1" horizontalDpi="600" verticalDpi="600" orientation="portrait" scale="8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State Lottery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Roddy</dc:creator>
  <cp:keywords/>
  <dc:description/>
  <cp:lastModifiedBy>Nagori, Rubina (GAMING)</cp:lastModifiedBy>
  <cp:lastPrinted>2024-04-30T14:12:11Z</cp:lastPrinted>
  <dcterms:created xsi:type="dcterms:W3CDTF">2007-10-10T21:03:54Z</dcterms:created>
  <dcterms:modified xsi:type="dcterms:W3CDTF">2024-04-30T14:12:30Z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